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6.xml" ContentType="application/vnd.openxmlformats-officedocument.spreadsheetml.comments+xml"/>
  <Override PartName="/xl/_rels/workbook.xml.rels" ContentType="application/vnd.openxmlformats-package.relationships+xml"/>
  <Override PartName="/xl/media/image1.png" ContentType="image/png"/>
  <Override PartName="/xl/comments2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Dashboard" sheetId="1" state="visible" r:id="rId3"/>
    <sheet name="Assumptions" sheetId="2" state="visible" r:id="rId4"/>
    <sheet name="Year 1 Monthly" sheetId="3" state="visible" r:id="rId5"/>
    <sheet name="5-Year P&amp;L" sheetId="4" state="visible" r:id="rId6"/>
    <sheet name="Unit Economics" sheetId="5" state="visible" r:id="rId7"/>
    <sheet name="Sensitivity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OpenAI</author>
  </authors>
  <commentList>
    <comment ref="C6" authorId="0">
      <text>
        <r>
          <rPr>
            <sz val="10"/>
            <rFont val="Arial"/>
            <family val="2"/>
          </rPr>
          <t xml:space="preserve">Source: Average customer invoice, including labor and parts. User-provided / management planning assumption; validate with actual company data before external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7" authorId="0">
      <text>
        <r>
          <rPr>
            <sz val="10"/>
            <rFont val="Arial"/>
            <family val="2"/>
          </rPr>
          <t xml:space="preserve">Source: Typical working days used for capacity planning. User-provided / management planning assumption; validate with actual company data before external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8" authorId="0">
      <text>
        <r>
          <rPr>
            <sz val="10"/>
            <rFont val="Arial"/>
            <family val="2"/>
          </rPr>
          <t xml:space="preserve">Source: Target productivity once route density and scheduling mature. User-provided / management planning assumption; validate with actual company data before external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9" authorId="0">
      <text>
        <r>
          <rPr>
            <sz val="10"/>
            <rFont val="Arial"/>
            <family val="2"/>
          </rPr>
          <t xml:space="preserve">Source: Illustrative parts/materials cost ratio from the prior business-plan model. User-provided / management planning assumption; validate with actual company data before external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10" authorId="0">
      <text>
        <r>
          <rPr>
            <sz val="10"/>
            <rFont val="Arial"/>
            <family val="2"/>
          </rPr>
          <t xml:space="preserve">Source: Illustrative fully paid mechanic cash compensation before payroll burden. User-provided / management planning assumption; validate with actual company data before external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11" authorId="0">
      <text>
        <r>
          <rPr>
            <sz val="10"/>
            <rFont val="Arial"/>
            <family val="2"/>
          </rPr>
          <t xml:space="preserve">Source: Employer payroll taxes / benefits reserve. User-provided / management planning assumption; validate with actual company data before external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12" authorId="0">
      <text>
        <r>
          <rPr>
            <sz val="10"/>
            <rFont val="Arial"/>
            <family val="2"/>
          </rPr>
          <t xml:space="preserve">Source: Illustrative vehicle operating cost per mobile technician. User-provided / management planning assumption; validate with actual company data before external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13" authorId="0">
      <text>
        <r>
          <rPr>
            <sz val="10"/>
            <rFont val="Arial"/>
            <family val="2"/>
          </rPr>
          <t xml:space="preserve">Source: Company-level base insurance cost before per-mechanic variable amount. User-provided / management planning assumption; validate with actual company data before external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14" authorId="0">
      <text>
        <r>
          <rPr>
            <sz val="10"/>
            <rFont val="Arial"/>
            <family val="2"/>
          </rPr>
          <t xml:space="preserve">Source: Illustrative incremental insurance scaling factor. User-provided / management planning assumption; validate with actual company data before external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15" authorId="0">
      <text>
        <r>
          <rPr>
            <sz val="10"/>
            <rFont val="Arial"/>
            <family val="2"/>
          </rPr>
          <t xml:space="preserve">Source: Minimum monthly marketing spend. User-provided / management planning assumption; validate with actual company data before external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16" authorId="0">
      <text>
        <r>
          <rPr>
            <sz val="10"/>
            <rFont val="Arial"/>
            <family val="2"/>
          </rPr>
          <t xml:space="preserve">Source: Variable marketing budget used when larger than the monthly minimum. User-provided / management planning assumption; validate with actual company data before external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17" authorId="0">
      <text>
        <r>
          <rPr>
            <sz val="10"/>
            <rFont val="Arial"/>
            <family val="2"/>
          </rPr>
          <t xml:space="preserve">Source: Dispatch, phone, CRM, bookkeeping and software base. User-provided / management planning assumption; validate with actual company data before external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18" authorId="0">
      <text>
        <r>
          <rPr>
            <sz val="10"/>
            <rFont val="Arial"/>
            <family val="2"/>
          </rPr>
          <t xml:space="preserve">Source: Per-technician software/admin scaling allowance. User-provided / management planning assumption; validate with actual company data before external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19" authorId="0">
      <text>
        <r>
          <rPr>
            <sz val="10"/>
            <rFont val="Arial"/>
            <family val="2"/>
          </rPr>
          <t xml:space="preserve">Source: Contingency for uniforms, consumables, small tools, fees and miscellaneous expenses. User-provided / management planning assumption; validate with actual company data before external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20" authorId="0">
      <text>
        <r>
          <rPr>
            <sz val="10"/>
            <rFont val="Arial"/>
            <family val="2"/>
          </rPr>
          <t xml:space="preserve">Source: Per-technician miscellaneous scaling allowance. User-provided / management planning assumption; validate with actual company data before external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21" authorId="0">
      <text>
        <r>
          <rPr>
            <sz val="10"/>
            <rFont val="Arial"/>
            <family val="2"/>
          </rPr>
          <t xml:space="preserve">Source: Illustrative capital needed for each incremental mobile mechanic unit. User-provided / management planning assumption; validate with actual company data before external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22" authorId="0">
      <text>
        <r>
          <rPr>
            <sz val="10"/>
            <rFont val="Arial"/>
            <family val="2"/>
          </rPr>
          <t xml:space="preserve">Source: Ongoing replacement/tooling capital reserve. User-provided / management planning assumption; validate with actual company data before external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23" authorId="0">
      <text>
        <r>
          <rPr>
            <sz val="10"/>
            <rFont val="Arial"/>
            <family val="2"/>
          </rPr>
          <t xml:space="preserve">Source: Illustrative tax rate; EBITDA remains the primary operating metric. User-provided / management planning assumption; validate with actual company data before external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28" authorId="0">
      <text>
        <r>
          <rPr>
            <sz val="10"/>
            <rFont val="Arial"/>
            <family val="2"/>
          </rPr>
          <t xml:space="preserve">Source: Illustrative Year 1 operating ramp assumption; replace with management forecast as bookings develop.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29" authorId="0">
      <text>
        <r>
          <rPr>
            <sz val="10"/>
            <rFont val="Arial"/>
            <family val="2"/>
          </rPr>
          <t xml:space="preserve">Source: Illustrative Year 1 operating ramp assumption; replace with management forecast as bookings develop.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30" authorId="0">
      <text>
        <r>
          <rPr>
            <sz val="10"/>
            <rFont val="Arial"/>
            <family val="2"/>
          </rPr>
          <t xml:space="preserve">Source: Illustrative Year 1 operating ramp assumption; replace with management forecast as bookings develop.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31" authorId="0">
      <text>
        <r>
          <rPr>
            <sz val="10"/>
            <rFont val="Arial"/>
            <family val="2"/>
          </rPr>
          <t xml:space="preserve">Source: Illustrative Year 1 operating ramp assumption; replace with management forecast as bookings develop.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32" authorId="0">
      <text>
        <r>
          <rPr>
            <sz val="10"/>
            <rFont val="Arial"/>
            <family val="2"/>
          </rPr>
          <t xml:space="preserve">Source: Illustrative Year 1 operating ramp assumption; replace with management forecast as bookings develop.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33" authorId="0">
      <text>
        <r>
          <rPr>
            <sz val="10"/>
            <rFont val="Arial"/>
            <family val="2"/>
          </rPr>
          <t xml:space="preserve">Source: Illustrative Year 1 operating ramp assumption; replace with management forecast as bookings develop.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34" authorId="0">
      <text>
        <r>
          <rPr>
            <sz val="10"/>
            <rFont val="Arial"/>
            <family val="2"/>
          </rPr>
          <t xml:space="preserve">Source: Illustrative Year 1 operating ramp assumption; replace with management forecast as bookings develop.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35" authorId="0">
      <text>
        <r>
          <rPr>
            <sz val="10"/>
            <rFont val="Arial"/>
            <family val="2"/>
          </rPr>
          <t xml:space="preserve">Source: Illustrative Year 1 operating ramp assumption; replace with management forecast as bookings develop.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36" authorId="0">
      <text>
        <r>
          <rPr>
            <sz val="10"/>
            <rFont val="Arial"/>
            <family val="2"/>
          </rPr>
          <t xml:space="preserve">Source: Illustrative Year 1 operating ramp assumption; replace with management forecast as bookings develop.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37" authorId="0">
      <text>
        <r>
          <rPr>
            <sz val="10"/>
            <rFont val="Arial"/>
            <family val="2"/>
          </rPr>
          <t xml:space="preserve">Source: Illustrative Year 1 operating ramp assumption; replace with management forecast as bookings develop.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38" authorId="0">
      <text>
        <r>
          <rPr>
            <sz val="10"/>
            <rFont val="Arial"/>
            <family val="2"/>
          </rPr>
          <t xml:space="preserve">Source: Illustrative Year 1 operating ramp assumption; replace with management forecast as bookings develop.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39" authorId="0">
      <text>
        <r>
          <rPr>
            <sz val="10"/>
            <rFont val="Arial"/>
            <family val="2"/>
          </rPr>
          <t xml:space="preserve">Source: Illustrative Year 1 operating ramp assumption; replace with management forecast as bookings develop.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44" authorId="0">
      <text>
        <r>
          <rPr>
            <sz val="10"/>
            <rFont val="Arial"/>
            <family val="2"/>
          </rPr>
          <t xml:space="preserve">Source: Illustrative management planning assumption; replace with local hiring budget / actual payroll.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45" authorId="0">
      <text>
        <r>
          <rPr>
            <sz val="10"/>
            <rFont val="Arial"/>
            <family val="2"/>
          </rPr>
          <t xml:space="preserve">Source: Illustrative management planning assumption; replace with local hiring budget / actual payroll.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46" authorId="0">
      <text>
        <r>
          <rPr>
            <sz val="10"/>
            <rFont val="Arial"/>
            <family val="2"/>
          </rPr>
          <t xml:space="preserve">Source: Illustrative management planning assumption; replace with local hiring budget / actual payroll.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47" authorId="0">
      <text>
        <r>
          <rPr>
            <sz val="10"/>
            <rFont val="Arial"/>
            <family val="2"/>
          </rPr>
          <t xml:space="preserve">Source: Illustrative management planning assumption; replace with local hiring budget / actual payroll.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52" authorId="0">
      <text>
        <r>
          <rPr>
            <sz val="10"/>
            <rFont val="Arial"/>
            <family val="2"/>
          </rPr>
          <t xml:space="preserve">Source: Illustrative management scale plan; revise as hiring capacity and actual demand become known.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53" authorId="0">
      <text>
        <r>
          <rPr>
            <sz val="10"/>
            <rFont val="Arial"/>
            <family val="2"/>
          </rPr>
          <t xml:space="preserve">Source: Illustrative management scale plan; revise as hiring capacity and actual demand become known.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C54" authorId="0">
      <text>
        <r>
          <rPr>
            <sz val="10"/>
            <rFont val="Arial"/>
            <family val="2"/>
          </rPr>
          <t xml:space="preserve">Source: Illustrative management scale plan; revise as hiring capacity and actual demand become known.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D28" authorId="0">
      <text>
        <r>
          <rPr>
            <sz val="10"/>
            <rFont val="Arial"/>
            <family val="2"/>
          </rPr>
          <t xml:space="preserve">Source: User stated starting team of two mechanics.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D29" authorId="0">
      <text>
        <r>
          <rPr>
            <sz val="10"/>
            <rFont val="Arial"/>
            <family val="2"/>
          </rPr>
          <t xml:space="preserve">Source: User stated starting team of two mechanics.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D30" authorId="0">
      <text>
        <r>
          <rPr>
            <sz val="10"/>
            <rFont val="Arial"/>
            <family val="2"/>
          </rPr>
          <t xml:space="preserve">Source: User stated starting team of two mechanics.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D31" authorId="0">
      <text>
        <r>
          <rPr>
            <sz val="10"/>
            <rFont val="Arial"/>
            <family val="2"/>
          </rPr>
          <t xml:space="preserve">Source: User stated starting team of two mechanics.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D32" authorId="0">
      <text>
        <r>
          <rPr>
            <sz val="10"/>
            <rFont val="Arial"/>
            <family val="2"/>
          </rPr>
          <t xml:space="preserve">Source: User stated starting team of two mechanics.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D33" authorId="0">
      <text>
        <r>
          <rPr>
            <sz val="10"/>
            <rFont val="Arial"/>
            <family val="2"/>
          </rPr>
          <t xml:space="preserve">Source: User stated starting team of two mechanics.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D34" authorId="0">
      <text>
        <r>
          <rPr>
            <sz val="10"/>
            <rFont val="Arial"/>
            <family val="2"/>
          </rPr>
          <t xml:space="preserve">Source: User stated starting team of two mechanics.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D35" authorId="0">
      <text>
        <r>
          <rPr>
            <sz val="10"/>
            <rFont val="Arial"/>
            <family val="2"/>
          </rPr>
          <t xml:space="preserve">Source: User stated starting team of two mechanics.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D36" authorId="0">
      <text>
        <r>
          <rPr>
            <sz val="10"/>
            <rFont val="Arial"/>
            <family val="2"/>
          </rPr>
          <t xml:space="preserve">Source: User stated starting team of two mechanics.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D37" authorId="0">
      <text>
        <r>
          <rPr>
            <sz val="10"/>
            <rFont val="Arial"/>
            <family val="2"/>
          </rPr>
          <t xml:space="preserve">Source: User stated starting team of two mechanics.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D38" authorId="0">
      <text>
        <r>
          <rPr>
            <sz val="10"/>
            <rFont val="Arial"/>
            <family val="2"/>
          </rPr>
          <t xml:space="preserve">Source: User stated starting team of two mechanics.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D39" authorId="0">
      <text>
        <r>
          <rPr>
            <sz val="10"/>
            <rFont val="Arial"/>
            <family val="2"/>
          </rPr>
          <t xml:space="preserve">Source: User stated starting team of two mechanics.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D44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D45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D46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D47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D52" authorId="0">
      <text>
        <r>
          <rPr>
            <sz val="10"/>
            <rFont val="Arial"/>
            <family val="2"/>
          </rPr>
          <t xml:space="preserve">Source: Illustrative management scale plan; revise as hiring capacity and actual demand become known.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D53" authorId="0">
      <text>
        <r>
          <rPr>
            <sz val="10"/>
            <rFont val="Arial"/>
            <family val="2"/>
          </rPr>
          <t xml:space="preserve">Source: Illustrative management scale plan; revise as hiring capacity and actual demand become known.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D54" authorId="0">
      <text>
        <r>
          <rPr>
            <sz val="10"/>
            <rFont val="Arial"/>
            <family val="2"/>
          </rPr>
          <t xml:space="preserve">Source: Illustrative management scale plan; revise as hiring capacity and actual demand become known.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E44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E45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E46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E47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E52" authorId="0">
      <text>
        <r>
          <rPr>
            <sz val="10"/>
            <rFont val="Arial"/>
            <family val="2"/>
          </rPr>
          <t xml:space="preserve">Source: Illustrative management scale plan; revise as hiring capacity and actual demand become known.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E53" authorId="0">
      <text>
        <r>
          <rPr>
            <sz val="10"/>
            <rFont val="Arial"/>
            <family val="2"/>
          </rPr>
          <t xml:space="preserve">Source: Illustrative management scale plan; revise as hiring capacity and actual demand become known.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E54" authorId="0">
      <text>
        <r>
          <rPr>
            <sz val="10"/>
            <rFont val="Arial"/>
            <family val="2"/>
          </rPr>
          <t xml:space="preserve">Source: Illustrative management scale plan; revise as hiring capacity and actual demand become known.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F44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F45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F46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F47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F52" authorId="0">
      <text>
        <r>
          <rPr>
            <sz val="10"/>
            <rFont val="Arial"/>
            <family val="2"/>
          </rPr>
          <t xml:space="preserve">Source: Illustrative management scale plan; revise as hiring capacity and actual demand become known.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F53" authorId="0">
      <text>
        <r>
          <rPr>
            <sz val="10"/>
            <rFont val="Arial"/>
            <family val="2"/>
          </rPr>
          <t xml:space="preserve">Source: Illustrative management scale plan; revise as hiring capacity and actual demand become known.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F54" authorId="0">
      <text>
        <r>
          <rPr>
            <sz val="10"/>
            <rFont val="Arial"/>
            <family val="2"/>
          </rPr>
          <t xml:space="preserve">Source: Illustrative management scale plan; revise as hiring capacity and actual demand become known.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G44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G45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G46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G47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G52" authorId="0">
      <text>
        <r>
          <rPr>
            <sz val="10"/>
            <rFont val="Arial"/>
            <family val="2"/>
          </rPr>
          <t xml:space="preserve">Source: Illustrative management scale plan; revise as hiring capacity and actual demand become known.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G53" authorId="0">
      <text>
        <r>
          <rPr>
            <sz val="10"/>
            <rFont val="Arial"/>
            <family val="2"/>
          </rPr>
          <t xml:space="preserve">Source: Illustrative management scale plan; revise as hiring capacity and actual demand become known.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G54" authorId="0">
      <text>
        <r>
          <rPr>
            <sz val="10"/>
            <rFont val="Arial"/>
            <family val="2"/>
          </rPr>
          <t xml:space="preserve">Source: Illustrative management scale plan; revise as hiring capacity and actual demand become known.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H44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H45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H46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  <comment ref="H47" authorId="0">
      <text>
        <r>
          <rPr>
            <sz val="10"/>
            <rFont val="Arial"/>
            <family val="2"/>
          </rPr>
          <t xml:space="preserve">Source: Illustrative support staffing plan designed to scale with mechanic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57</xdr:colOff>
                <xdr:row>0</xdr:row>
                <xdr:rowOff>2</xdr:rowOff>
              </xdr:from>
              <xdr:to>
                <xdr:col>2</xdr:col>
                <xdr:colOff>-51</xdr:colOff>
                <xdr:row>4</xdr:row>
                <xdr:rowOff>1</xdr:rowOff>
              </xdr:to>
            </anchor>
          </commentPr>
        </mc:Choice>
        <mc:Fallback/>
      </mc:AlternateContent>
    </comment>
  </commentList>
</comments>
</file>

<file path=xl/comments6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OpenAI</author>
  </authors>
  <commentList>
    <comment ref="A7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A8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A9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A10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A11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A16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A17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A18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A19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A20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B6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B15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C6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C15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D6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D15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E6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E15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F6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G6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Source: Scenario value for sensitivity analysis.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-14</xdr:colOff>
                <xdr:row>4</xdr:row>
                <xdr:rowOff>1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<sst xmlns="http://schemas.openxmlformats.org/spreadsheetml/2006/main" count="196" uniqueCount="162">
  <si>
    <t xml:space="preserve">SCALABLE MOBILE AUTOMOTIVE SERVICE</t>
  </si>
  <si>
    <t xml:space="preserve">Honest. Affordable. Mobile.</t>
  </si>
  <si>
    <t xml:space="preserve">BASE CASE — KEY METRICS</t>
  </si>
  <si>
    <t xml:space="preserve">Year 1 Revenue</t>
  </si>
  <si>
    <t xml:space="preserve">Year 1 EBITDA</t>
  </si>
  <si>
    <t xml:space="preserve">Year 1 EBITDA Margin</t>
  </si>
  <si>
    <t xml:space="preserve">Year 5 Revenue</t>
  </si>
  <si>
    <t xml:space="preserve">Year 5 EBITDA</t>
  </si>
  <si>
    <t xml:space="preserve">Year 5 Mechanics</t>
  </si>
  <si>
    <t xml:space="preserve">Contribution / Mechanic / Month</t>
  </si>
  <si>
    <t xml:space="preserve">Breakeven Jobs / Day / Mechanic</t>
  </si>
  <si>
    <t xml:space="preserve">MODEL USE</t>
  </si>
  <si>
    <t xml:space="preserve">Use the Assumptions tab to update pricing, productivity, staffing, marketing, and cost inputs. The model then flows through Year 1 monthly economics, the 5-year P&amp;L, unit economics, breakeven analysis, and sensitivity cases. This is a management planning model—not audited financial guidance.</t>
  </si>
  <si>
    <t xml:space="preserve">Gabriel Glass Motorworks — Financial Model Assumptions</t>
  </si>
  <si>
    <t xml:space="preserve">Blue font = editable input | Green = linked from another worksheet | Black = formula</t>
  </si>
  <si>
    <t xml:space="preserve">Core Operating Assumptions</t>
  </si>
  <si>
    <t xml:space="preserve">Average ticket</t>
  </si>
  <si>
    <t xml:space="preserve">Workdays per month</t>
  </si>
  <si>
    <t xml:space="preserve">Steady-state jobs / mechanic / day</t>
  </si>
  <si>
    <t xml:space="preserve">Parts &amp; materials as % of revenue</t>
  </si>
  <si>
    <t xml:space="preserve">Mechanic base compensation / month</t>
  </si>
  <si>
    <t xml:space="preserve">Payroll burden</t>
  </si>
  <si>
    <t xml:space="preserve">Vehicle + fuel + maintenance / mechanic / month</t>
  </si>
  <si>
    <t xml:space="preserve">Insurance base / month</t>
  </si>
  <si>
    <t xml:space="preserve">Insurance incremental / mechanic / month</t>
  </si>
  <si>
    <t xml:space="preserve">Marketing minimum / month</t>
  </si>
  <si>
    <t xml:space="preserve">Marketing as % of revenue</t>
  </si>
  <si>
    <t xml:space="preserve">Software/admin base / month</t>
  </si>
  <si>
    <t xml:space="preserve">Software/admin / mechanic / month</t>
  </si>
  <si>
    <t xml:space="preserve">Other / misc. base / month</t>
  </si>
  <si>
    <t xml:space="preserve">Other / misc. / mechanic / month</t>
  </si>
  <si>
    <t xml:space="preserve">New service vehicle + tool setup</t>
  </si>
  <si>
    <t xml:space="preserve">Maintenance capex / revenue</t>
  </si>
  <si>
    <t xml:space="preserve">Tax rate (for planning)</t>
  </si>
  <si>
    <t xml:space="preserve">Year 1 Ramp Assumptions</t>
  </si>
  <si>
    <t xml:space="preserve">Month</t>
  </si>
  <si>
    <t xml:space="preserve">Jobs / Mechanic / Day</t>
  </si>
  <si>
    <t xml:space="preserve">Mechanics</t>
  </si>
  <si>
    <t xml:space="preserve">Month 1</t>
  </si>
  <si>
    <t xml:space="preserve">Month 2</t>
  </si>
  <si>
    <t xml:space="preserve">Month 3</t>
  </si>
  <si>
    <t xml:space="preserve">Month 4</t>
  </si>
  <si>
    <t xml:space="preserve">Month 5</t>
  </si>
  <si>
    <t xml:space="preserve">Month 6</t>
  </si>
  <si>
    <t xml:space="preserve">Month 7</t>
  </si>
  <si>
    <t xml:space="preserve">Month 8</t>
  </si>
  <si>
    <t xml:space="preserve">Month 9</t>
  </si>
  <si>
    <t xml:space="preserve">Month 10</t>
  </si>
  <si>
    <t xml:space="preserve">Month 11</t>
  </si>
  <si>
    <t xml:space="preserve">Month 12</t>
  </si>
  <si>
    <t xml:space="preserve">Support Staff Assumptions &amp; Scaling Plan</t>
  </si>
  <si>
    <t xml:space="preserve">Role</t>
  </si>
  <si>
    <t xml:space="preserve">Monthly Compensation</t>
  </si>
  <si>
    <t xml:space="preserve">Year 1 HC</t>
  </si>
  <si>
    <t xml:space="preserve">Year 2 HC</t>
  </si>
  <si>
    <t xml:space="preserve">Year 3 HC</t>
  </si>
  <si>
    <t xml:space="preserve">Year 4 HC</t>
  </si>
  <si>
    <t xml:space="preserve">Year 5 HC</t>
  </si>
  <si>
    <t xml:space="preserve">Dispatcher / Service Coordinator</t>
  </si>
  <si>
    <t xml:space="preserve">Operations Manager</t>
  </si>
  <si>
    <t xml:space="preserve">Marketing Manager / Agency Equivalent</t>
  </si>
  <si>
    <t xml:space="preserve">Fleet Sales</t>
  </si>
  <si>
    <t xml:space="preserve">5-Year Scale Assumptions</t>
  </si>
  <si>
    <t xml:space="preserve">Metric</t>
  </si>
  <si>
    <t xml:space="preserve">Year 1</t>
  </si>
  <si>
    <t xml:space="preserve">Year 2</t>
  </si>
  <si>
    <t xml:space="preserve">Year 3</t>
  </si>
  <si>
    <t xml:space="preserve">Year 4</t>
  </si>
  <si>
    <t xml:space="preserve">Year 5</t>
  </si>
  <si>
    <t xml:space="preserve">Average mechanic headcount</t>
  </si>
  <si>
    <t xml:space="preserve">Capacity utilization</t>
  </si>
  <si>
    <t xml:space="preserve">Average ticket growth</t>
  </si>
  <si>
    <t xml:space="preserve">Year 1 Monthly Operating Model</t>
  </si>
  <si>
    <t xml:space="preserve">Starting with two mechanics; editable ramp assumptions flow from the Assumptions sheet</t>
  </si>
  <si>
    <t xml:space="preserve">Operating Drivers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</si>
  <si>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</si>
  <si>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</si>
  <si>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</si>
  <si>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</si>
  <si>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</si>
  <si>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</si>
  <si>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</si>
  <si>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</si>
  <si>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</si>
  <si>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</si>
  <si>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</si>
  <si>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</si>
  <si>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FY1</t>
  </si>
  <si>
    <t xml:space="preserve">Jobs / mechanic / day</t>
  </si>
  <si>
    <t xml:space="preserve">Workdays / month</t>
  </si>
  <si>
    <t xml:space="preserve">Total jobs</t>
  </si>
  <si>
    <t xml:space="preserve">Revenue</t>
  </si>
  <si>
    <t xml:space="preserve">Income Statement</t>
  </si>
  <si>
    <t xml:space="preserve">Parts &amp; materials</t>
  </si>
  <si>
    <t xml:space="preserve">Gross Profit</t>
  </si>
  <si>
    <t xml:space="preserve">Gross Margin</t>
  </si>
  <si>
    <t xml:space="preserve">Mechanic compensation</t>
  </si>
  <si>
    <t xml:space="preserve">Vehicle / fuel / maintenance</t>
  </si>
  <si>
    <t xml:space="preserve">Insurance</t>
  </si>
  <si>
    <t xml:space="preserve">Marketing</t>
  </si>
  <si>
    <t xml:space="preserve">Software / admin</t>
  </si>
  <si>
    <t xml:space="preserve">Other / misc.</t>
  </si>
  <si>
    <t xml:space="preserve">Total Operating Expenses</t>
  </si>
  <si>
    <t xml:space="preserve">EBITDA</t>
  </si>
  <si>
    <t xml:space="preserve">EBITDA Margin</t>
  </si>
  <si>
    <t xml:space="preserve">Estimated taxes (planning)</t>
  </si>
  <si>
    <t xml:space="preserve">After-tax operating profit (proxy)</t>
  </si>
  <si>
    <t xml:space="preserve">5-Year Scaling P&amp;L</t>
  </si>
  <si>
    <t xml:space="preserve">Year 1 ties to the monthly ramp; Years 2–5 use the editable capacity-based scaling assumptions</t>
  </si>
  <si>
    <t xml:space="preserve">Units</t>
  </si>
  <si>
    <t xml:space="preserve">Average mechanics</t>
  </si>
  <si>
    <t xml:space="preserve">HC</t>
  </si>
  <si>
    <t xml:space="preserve">%</t>
  </si>
  <si>
    <t xml:space="preserve">Jobs</t>
  </si>
  <si>
    <t xml:space="preserve">$ / job</t>
  </si>
  <si>
    <t xml:space="preserve">Workdays / year</t>
  </si>
  <si>
    <t xml:space="preserve">Days</t>
  </si>
  <si>
    <t xml:space="preserve">Revenue capacity</t>
  </si>
  <si>
    <t xml:space="preserve">$</t>
  </si>
  <si>
    <t xml:space="preserve">Support staff compensation</t>
  </si>
  <si>
    <t xml:space="preserve">Capital &amp; Cash Flow</t>
  </si>
  <si>
    <t xml:space="preserve">New mechanics added</t>
  </si>
  <si>
    <t xml:space="preserve">Growth capex</t>
  </si>
  <si>
    <t xml:space="preserve">Maintenance capex</t>
  </si>
  <si>
    <t xml:space="preserve">Free Cash Flow before taxes/financing</t>
  </si>
  <si>
    <t xml:space="preserve">Cumulative Free Cash Flow</t>
  </si>
  <si>
    <t xml:space="preserve">Unit Economics</t>
  </si>
  <si>
    <t xml:space="preserve">Economics of one fully utilized mobile mechanic unit</t>
  </si>
  <si>
    <t xml:space="preserve">Per-Mechanic Economics</t>
  </si>
  <si>
    <t xml:space="preserve">Jobs / day</t>
  </si>
  <si>
    <t xml:space="preserve">Steady-state productivity</t>
  </si>
  <si>
    <t xml:space="preserve">Average invoice</t>
  </si>
  <si>
    <t xml:space="preserve">Revenue / day</t>
  </si>
  <si>
    <t xml:space="preserve">Jobs/day × ticket</t>
  </si>
  <si>
    <t xml:space="preserve">Revenue / month</t>
  </si>
  <si>
    <t xml:space="preserve">Revenue/day × workdays/month</t>
  </si>
  <si>
    <t xml:space="preserve">Parts &amp; materials / month</t>
  </si>
  <si>
    <t xml:space="preserve">Variable COGS</t>
  </si>
  <si>
    <t xml:space="preserve">Gross profit / month</t>
  </si>
  <si>
    <t xml:space="preserve">Before mechanic and vehicle costs</t>
  </si>
  <si>
    <t xml:space="preserve">Mechanic comp / month</t>
  </si>
  <si>
    <t xml:space="preserve">Base cash compensation</t>
  </si>
  <si>
    <t xml:space="preserve">Payroll burden / month</t>
  </si>
  <si>
    <t xml:space="preserve">Employer burden</t>
  </si>
  <si>
    <t xml:space="preserve">Vehicle / fuel / maintenance / month</t>
  </si>
  <si>
    <t xml:space="preserve">Mobile unit operating cost</t>
  </si>
  <si>
    <t xml:space="preserve">Contribution / mechanic / month</t>
  </si>
  <si>
    <t xml:space="preserve">Before corporate overhead</t>
  </si>
  <si>
    <t xml:space="preserve">Contribution margin</t>
  </si>
  <si>
    <t xml:space="preserve">Contribution / revenue</t>
  </si>
  <si>
    <t xml:space="preserve">Breakeven</t>
  </si>
  <si>
    <t xml:space="preserve">Monthly fixed cost allocated to one 2-mechanic unit</t>
  </si>
  <si>
    <t xml:space="preserve">Contribution per job before mechanic/vehicle</t>
  </si>
  <si>
    <t xml:space="preserve">Mechanic + payroll + vehicle fixed / month</t>
  </si>
  <si>
    <t xml:space="preserve">Total monthly cost to cover / mechanic</t>
  </si>
  <si>
    <t xml:space="preserve">Breakeven jobs / month / mechanic</t>
  </si>
  <si>
    <t xml:space="preserve">Breakeven jobs / day / mechanic</t>
  </si>
  <si>
    <t xml:space="preserve">Two-Mechanic Sensitivity Analysis</t>
  </si>
  <si>
    <t xml:space="preserve">Annual revenue and EBITDA sensitivity by average ticket and jobs per mechanic per day</t>
  </si>
  <si>
    <t xml:space="preserve">Annual Revenue Sensitivity</t>
  </si>
  <si>
    <t xml:space="preserve">Avg Ticket → / Jobs per Day ↓</t>
  </si>
  <si>
    <t xml:space="preserve">Annual EBITDA Sensitivity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</si>
</sst>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\$#,##0;[RED]&quot;($&quot;#,##0\);\-"/>
    <numFmt numFmtId="166" formatCode="0.0%;[RED]\(0.0%\);\-"/>
    <numFmt numFmtId="167" formatCode="#,##0;[RED]\(#,##0\);\-"/>
    <numFmt numFmtId="168" formatCode="0.00"/>
    <numFmt numFmtId="169" formatCode="0%"/>
    <numFmt numFmtId="170" formatCode="0.0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231F20"/>
      <name val="Aptos"/>
      <family val="0"/>
      <charset val="1"/>
    </font>
    <font>
      <i val="true"/>
      <sz val="13"/>
      <color rgb="FFC89B3C"/>
      <name val="Aptos"/>
      <family val="0"/>
      <charset val="1"/>
    </font>
    <font>
      <b val="true"/>
      <sz val="10"/>
      <color rgb="FFFFFFFF"/>
      <name val="Aptos"/>
      <family val="0"/>
      <charset val="1"/>
    </font>
    <font>
      <b val="true"/>
      <sz val="10"/>
      <color rgb="FF666666"/>
      <name val="Aptos"/>
      <family val="0"/>
      <charset val="1"/>
    </font>
    <font>
      <b val="true"/>
      <sz val="18"/>
      <color rgb="FF231F20"/>
      <name val="Aptos"/>
      <family val="0"/>
      <charset val="1"/>
    </font>
    <font>
      <b val="true"/>
      <sz val="18"/>
      <name val="Aptos"/>
      <family val="0"/>
      <charset val="1"/>
    </font>
    <font>
      <sz val="11"/>
      <color rgb="FF555555"/>
      <name val="Aptos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22"/>
      <color rgb="FF231F20"/>
      <name val="Aptos"/>
      <family val="0"/>
      <charset val="1"/>
    </font>
    <font>
      <i val="true"/>
      <sz val="10"/>
      <color rgb="FF666666"/>
      <name val="Aptos"/>
      <family val="0"/>
      <charset val="1"/>
    </font>
    <font>
      <b val="true"/>
      <sz val="11"/>
      <color rgb="FFFFFFFF"/>
      <name val="Aptos"/>
      <family val="0"/>
      <charset val="1"/>
    </font>
    <font>
      <sz val="10"/>
      <color rgb="FF0000FF"/>
      <name val="Aptos"/>
      <family val="0"/>
      <charset val="1"/>
    </font>
    <font>
      <b val="true"/>
      <sz val="10"/>
      <name val="Aptos"/>
      <family val="0"/>
      <charset val="1"/>
    </font>
    <font>
      <sz val="10"/>
      <name val="Arial"/>
      <family val="2"/>
    </font>
    <font>
      <sz val="10"/>
      <color rgb="FF008000"/>
      <name val="Aptos"/>
      <family val="0"/>
      <charset val="1"/>
    </font>
    <font>
      <sz val="10"/>
      <color rgb="FF000000"/>
      <name val="Aptos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231F20"/>
        <bgColor rgb="FF333300"/>
      </patternFill>
    </fill>
    <fill>
      <patternFill patternType="solid">
        <fgColor rgb="FFF3E8CF"/>
        <bgColor rgb="FFF2F2F2"/>
      </patternFill>
    </fill>
    <fill>
      <patternFill patternType="solid">
        <fgColor rgb="FFDDEBF7"/>
        <bgColor rgb="FFF2F2F2"/>
      </patternFill>
    </fill>
    <fill>
      <patternFill patternType="solid">
        <fgColor rgb="FFFFFCE6"/>
        <bgColor rgb="FFFFFFFF"/>
      </patternFill>
    </fill>
    <fill>
      <patternFill patternType="solid">
        <fgColor rgb="FFF2F2F2"/>
        <bgColor rgb="FFFFFCE6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>
        <color rgb="FF231F20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4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9" fillId="4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7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7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17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7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2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2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2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2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2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2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2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7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4CC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666666"/>
      <rgbColor rgb="FF800080"/>
      <rgbColor rgb="FF4F81BD"/>
      <rgbColor rgb="FFC0C0C0"/>
      <rgbColor rgb="FF878787"/>
      <rgbColor rgb="FF8064A2"/>
      <rgbColor rgb="FFBE4B48"/>
      <rgbColor rgb="FFFFFCE6"/>
      <rgbColor rgb="FFDD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3E8CF"/>
      <rgbColor rgb="FF99CCFF"/>
      <rgbColor rgb="FFFF99CC"/>
      <rgbColor rgb="FFCC99FF"/>
      <rgbColor rgb="FFF4CCCC"/>
      <rgbColor rgb="FF4A7EBB"/>
      <rgbColor rgb="FF4BACC6"/>
      <rgbColor rgb="FF98B855"/>
      <rgbColor rgb="FFFFCC00"/>
      <rgbColor rgb="FFC89B3C"/>
      <rgbColor rgb="FFFF6600"/>
      <rgbColor rgb="FF7D5FA0"/>
      <rgbColor rgb="FF9BBB59"/>
      <rgbColor rgb="FF003366"/>
      <rgbColor rgb="FF46AAC4"/>
      <rgbColor rgb="FF003300"/>
      <rgbColor rgb="FF333300"/>
      <rgbColor rgb="FF993300"/>
      <rgbColor rgb="FFC0504D"/>
      <rgbColor rgb="FF555555"/>
      <rgbColor rgb="FF231F2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sz="1800" strike="noStrike" u="none">
                <a:solidFill>
                  <a:srgbClr val="000000"/>
                </a:solidFill>
                <a:uFillTx/>
                <a:latin typeface="Calibri"/>
              </a:rPr>
              <a:t>Revenue Scale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'5-Year P&amp;L'!$C$6:$G$6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'5-Year P&amp;L'!$C$16</c:f>
              <c:numCache>
                <c:formatCode>\$#,##0;[RED]"($"#,##0\);\-</c:formatCode>
                <c:ptCount val="1"/>
                <c:pt idx="0">
                  <c:v>697950</c:v>
                </c:pt>
              </c:numCache>
            </c:numRef>
          </c:val>
        </c:ser>
        <c:ser>
          <c:idx val="1"/>
          <c:order val="1"/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'5-Year P&amp;L'!$C$6:$G$6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'5-Year P&amp;L'!$D$16</c:f>
              <c:numCache>
                <c:formatCode>\$#,##0;[RED]"($"#,##0\);\-</c:formatCode>
                <c:ptCount val="1"/>
                <c:pt idx="0">
                  <c:v>1500998.4</c:v>
                </c:pt>
              </c:numCache>
            </c:numRef>
          </c:val>
        </c:ser>
        <c:ser>
          <c:idx val="2"/>
          <c:order val="2"/>
          <c:spPr>
            <a:solidFill>
              <a:srgbClr val="9bbb59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'5-Year P&amp;L'!$C$6:$G$6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'5-Year P&amp;L'!$E$16</c:f>
              <c:numCache>
                <c:formatCode>\$#,##0;[RED]"($"#,##0\);\-</c:formatCode>
                <c:ptCount val="1"/>
                <c:pt idx="0">
                  <c:v>3192884.64</c:v>
                </c:pt>
              </c:numCache>
            </c:numRef>
          </c:val>
        </c:ser>
        <c:ser>
          <c:idx val="3"/>
          <c:order val="3"/>
          <c:spPr>
            <a:solidFill>
              <a:srgbClr val="8064a2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'5-Year P&amp;L'!$C$6:$G$6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'5-Year P&amp;L'!$F$16</c:f>
              <c:numCache>
                <c:formatCode>\$#,##0;[RED]"($"#,##0\);\-</c:formatCode>
                <c:ptCount val="1"/>
                <c:pt idx="0">
                  <c:v>6296074.4286</c:v>
                </c:pt>
              </c:numCache>
            </c:numRef>
          </c:val>
        </c:ser>
        <c:ser>
          <c:idx val="4"/>
          <c:order val="4"/>
          <c:spPr>
            <a:solidFill>
              <a:srgbClr val="4bacc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'5-Year P&amp;L'!$C$6:$G$6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'5-Year P&amp;L'!$G$16</c:f>
              <c:numCache>
                <c:formatCode>\$#,##0;[RED]"($"#,##0\);\-</c:formatCode>
                <c:ptCount val="1"/>
                <c:pt idx="0">
                  <c:v>11142537.219</c:v>
                </c:pt>
              </c:numCache>
            </c:numRef>
          </c:val>
        </c:ser>
        <c:gapWidth val="150"/>
        <c:overlap val="0"/>
        <c:axId val="33780208"/>
        <c:axId val="8058552"/>
      </c:barChart>
      <c:catAx>
        <c:axId val="3378020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Year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8058552"/>
        <c:crosses val="autoZero"/>
        <c:auto val="1"/>
        <c:lblAlgn val="ctr"/>
        <c:lblOffset val="100"/>
        <c:noMultiLvlLbl val="0"/>
      </c:catAx>
      <c:valAx>
        <c:axId val="805855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Revenue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;[RED]&quot;($&quot;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3378020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sz="1800" strike="noStrike" u="none">
                <a:solidFill>
                  <a:srgbClr val="000000"/>
                </a:solidFill>
                <a:uFillTx/>
                <a:latin typeface="Calibri"/>
              </a:rPr>
              <a:t>EBITDA Margin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'5-Year P&amp;L'!$C$6:$G$6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'5-Year P&amp;L'!$C$31</c:f>
              <c:numCache>
                <c:formatCode>0.0%;[RED]\(0.0%\);\-</c:formatCode>
                <c:ptCount val="1"/>
                <c:pt idx="0">
                  <c:v>0.180765097786374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be4b48"/>
            </a:solidFill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'5-Year P&amp;L'!$C$6:$G$6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'5-Year P&amp;L'!$D$31</c:f>
              <c:numCache>
                <c:formatCode>0.0%;[RED]\(0.0%\);\-</c:formatCode>
                <c:ptCount val="1"/>
                <c:pt idx="0">
                  <c:v>0.237481228494314</c:v>
                </c:pt>
              </c:numCache>
            </c:numRef>
          </c:val>
          <c:smooth val="1"/>
        </c:ser>
        <c:ser>
          <c:idx val="2"/>
          <c:order val="2"/>
          <c:spPr>
            <a:solidFill>
              <a:srgbClr val="98b855"/>
            </a:solidFill>
            <a:ln w="28440">
              <a:solidFill>
                <a:srgbClr val="98b855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'5-Year P&amp;L'!$C$6:$G$6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'5-Year P&amp;L'!$E$31</c:f>
              <c:numCache>
                <c:formatCode>0.0%;[RED]\(0.0%\);\-</c:formatCode>
                <c:ptCount val="1"/>
                <c:pt idx="0">
                  <c:v>0.221775586104483</c:v>
                </c:pt>
              </c:numCache>
            </c:numRef>
          </c:val>
          <c:smooth val="1"/>
        </c:ser>
        <c:ser>
          <c:idx val="3"/>
          <c:order val="3"/>
          <c:spPr>
            <a:solidFill>
              <a:srgbClr val="7d5fa0"/>
            </a:solidFill>
            <a:ln w="28440">
              <a:solidFill>
                <a:srgbClr val="7d5fa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'5-Year P&amp;L'!$C$6:$G$6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'5-Year P&amp;L'!$F$31</c:f>
              <c:numCache>
                <c:formatCode>0.0%;[RED]\(0.0%\);\-</c:formatCode>
                <c:ptCount val="1"/>
                <c:pt idx="0">
                  <c:v>0.269947431872073</c:v>
                </c:pt>
              </c:numCache>
            </c:numRef>
          </c:val>
          <c:smooth val="1"/>
        </c:ser>
        <c:ser>
          <c:idx val="4"/>
          <c:order val="4"/>
          <c:spPr>
            <a:solidFill>
              <a:srgbClr val="46aac4"/>
            </a:solidFill>
            <a:ln w="28440">
              <a:solidFill>
                <a:srgbClr val="46aac4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'5-Year P&amp;L'!$C$6:$G$6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'5-Year P&amp;L'!$G$31</c:f>
              <c:numCache>
                <c:formatCode>0.0%;[RED]\(0.0%\);\-</c:formatCode>
                <c:ptCount val="1"/>
                <c:pt idx="0">
                  <c:v>0.295504919555073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28205468"/>
        <c:axId val="3464254"/>
      </c:lineChart>
      <c:catAx>
        <c:axId val="2820546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Year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3464254"/>
        <c:crosses val="autoZero"/>
        <c:auto val="1"/>
        <c:lblAlgn val="ctr"/>
        <c:lblOffset val="100"/>
        <c:noMultiLvlLbl val="0"/>
      </c:catAx>
      <c:valAx>
        <c:axId val="346425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Margin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2820546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18</xdr:row>
      <xdr:rowOff>175680</xdr:rowOff>
    </xdr:from>
    <xdr:to>
      <xdr:col>3</xdr:col>
      <xdr:colOff>1062000</xdr:colOff>
      <xdr:row>32</xdr:row>
      <xdr:rowOff>28440</xdr:rowOff>
    </xdr:to>
    <xdr:graphicFrame>
      <xdr:nvGraphicFramePr>
        <xdr:cNvPr id="0" name="Chart 1"/>
        <xdr:cNvGraphicFramePr/>
      </xdr:nvGraphicFramePr>
      <xdr:xfrm>
        <a:off x="281880" y="3619440"/>
        <a:ext cx="3599640" cy="25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18</xdr:row>
      <xdr:rowOff>175680</xdr:rowOff>
    </xdr:from>
    <xdr:to>
      <xdr:col>9</xdr:col>
      <xdr:colOff>780120</xdr:colOff>
      <xdr:row>32</xdr:row>
      <xdr:rowOff>28440</xdr:rowOff>
    </xdr:to>
    <xdr:graphicFrame>
      <xdr:nvGraphicFramePr>
        <xdr:cNvPr id="1" name="Chart 2"/>
        <xdr:cNvGraphicFramePr/>
      </xdr:nvGraphicFramePr>
      <xdr:xfrm>
        <a:off x="6625440" y="3619440"/>
        <a:ext cx="3599640" cy="25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605160</xdr:colOff>
      <xdr:row>10</xdr:row>
      <xdr:rowOff>80280</xdr:rowOff>
    </xdr:to>
    <xdr:pic>
      <xdr:nvPicPr>
        <xdr:cNvPr id="2" name="Image 3" descr="Picture"/>
        <xdr:cNvPicPr/>
      </xdr:nvPicPr>
      <xdr:blipFill>
        <a:blip r:embed="rId3"/>
        <a:stretch/>
      </xdr:blipFill>
      <xdr:spPr>
        <a:xfrm>
          <a:off x="281880" y="0"/>
          <a:ext cx="3142800" cy="1999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L40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"/>
    <col collapsed="false" customWidth="true" hidden="false" outlineLevel="0" max="8" min="2" style="0" width="18"/>
    <col collapsed="false" customWidth="true" hidden="false" outlineLevel="0" max="9" min="9" style="0" width="4"/>
    <col collapsed="false" customWidth="true" hidden="false" outlineLevel="0" max="12" min="10" style="0" width="18"/>
  </cols>
  <sheetData>
    <row r="2" customFormat="false" ht="15" hidden="false" customHeight="false" outlineLevel="0" collapsed="false">
      <c r="F2" s="1" t="s">
        <v>0</v>
      </c>
      <c r="G2" s="1"/>
      <c r="H2" s="1"/>
      <c r="I2" s="1"/>
      <c r="J2" s="1"/>
      <c r="K2" s="1"/>
      <c r="L2" s="1"/>
    </row>
    <row r="3" customFormat="false" ht="15" hidden="false" customHeight="false" outlineLevel="0" collapsed="false">
      <c r="F3" s="1"/>
      <c r="G3" s="1"/>
      <c r="H3" s="1"/>
      <c r="I3" s="1"/>
      <c r="J3" s="1"/>
      <c r="K3" s="1"/>
      <c r="L3" s="1"/>
    </row>
    <row r="4" customFormat="false" ht="16.15" hidden="false" customHeight="false" outlineLevel="0" collapsed="false">
      <c r="F4" s="2" t="s">
        <v>1</v>
      </c>
      <c r="G4" s="2"/>
      <c r="H4" s="2"/>
      <c r="I4" s="2"/>
      <c r="J4" s="2"/>
      <c r="K4" s="2"/>
      <c r="L4" s="2"/>
    </row>
    <row r="10" customFormat="false" ht="15" hidden="false" customHeight="false" outlineLevel="0" collapsed="false">
      <c r="B10" s="3" t="s">
        <v>2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customFormat="false" ht="15" hidden="false" customHeight="false" outlineLevel="0" collapsed="false">
      <c r="B11" s="4" t="s">
        <v>3</v>
      </c>
      <c r="C11" s="4"/>
      <c r="D11" s="4" t="s">
        <v>4</v>
      </c>
      <c r="E11" s="4"/>
      <c r="F11" s="4" t="s">
        <v>5</v>
      </c>
      <c r="G11" s="4"/>
      <c r="H11" s="4" t="s">
        <v>6</v>
      </c>
      <c r="I11" s="4"/>
      <c r="J11" s="4" t="s">
        <v>7</v>
      </c>
      <c r="K11" s="4"/>
    </row>
    <row r="12" customFormat="false" ht="15" hidden="false" customHeight="false" outlineLevel="0" collapsed="false">
      <c r="B12" s="5" t="n">
        <f aca="false">'5-Year P&amp;L'!C16</f>
        <v>697950</v>
      </c>
      <c r="C12" s="5"/>
      <c r="D12" s="5" t="n">
        <f aca="false">'5-Year P&amp;L'!C30</f>
        <v>126165</v>
      </c>
      <c r="E12" s="5"/>
      <c r="F12" s="6" t="n">
        <f aca="false">'5-Year P&amp;L'!C31</f>
        <v>0.180765097786374</v>
      </c>
      <c r="G12" s="6"/>
      <c r="H12" s="5" t="n">
        <f aca="false">'5-Year P&amp;L'!G16</f>
        <v>11142537.219</v>
      </c>
      <c r="I12" s="5"/>
      <c r="J12" s="5" t="n">
        <f aca="false">'5-Year P&amp;L'!G30</f>
        <v>3292674.56454</v>
      </c>
      <c r="K12" s="5"/>
    </row>
    <row r="13" customFormat="false" ht="15" hidden="false" customHeight="false" outlineLevel="0" collapsed="false">
      <c r="B13" s="5"/>
      <c r="C13" s="5"/>
      <c r="D13" s="5"/>
      <c r="E13" s="5"/>
      <c r="F13" s="6"/>
      <c r="G13" s="6"/>
      <c r="H13" s="5"/>
      <c r="I13" s="5"/>
      <c r="J13" s="5"/>
      <c r="K13" s="5"/>
    </row>
    <row r="15" customFormat="false" ht="15" hidden="false" customHeight="false" outlineLevel="0" collapsed="false">
      <c r="B15" s="4" t="s">
        <v>8</v>
      </c>
      <c r="C15" s="4"/>
      <c r="D15" s="4" t="s">
        <v>9</v>
      </c>
      <c r="E15" s="4"/>
      <c r="F15" s="4"/>
      <c r="G15" s="4"/>
      <c r="H15" s="4" t="s">
        <v>10</v>
      </c>
      <c r="I15" s="4"/>
      <c r="J15" s="4"/>
      <c r="K15" s="4"/>
    </row>
    <row r="16" customFormat="false" ht="15" hidden="false" customHeight="false" outlineLevel="0" collapsed="false">
      <c r="B16" s="7" t="n">
        <f aca="false">'5-Year P&amp;L'!G7</f>
        <v>25</v>
      </c>
      <c r="C16" s="7"/>
      <c r="D16" s="8" t="n">
        <f aca="false">'Unit Economics'!B15</f>
        <v>13100</v>
      </c>
      <c r="E16" s="8"/>
      <c r="F16" s="8"/>
      <c r="G16" s="8"/>
      <c r="H16" s="9" t="n">
        <f aca="false">'Unit Economics'!B25</f>
        <v>2.46753246753247</v>
      </c>
      <c r="I16" s="9"/>
      <c r="J16" s="9"/>
      <c r="K16" s="9"/>
    </row>
    <row r="17" customFormat="false" ht="15" hidden="false" customHeight="false" outlineLevel="0" collapsed="false">
      <c r="B17" s="7"/>
      <c r="C17" s="7"/>
      <c r="D17" s="8"/>
      <c r="E17" s="8"/>
      <c r="F17" s="8"/>
      <c r="G17" s="8"/>
      <c r="H17" s="9"/>
      <c r="I17" s="9"/>
      <c r="J17" s="9"/>
      <c r="K17" s="9"/>
    </row>
    <row r="36" customFormat="false" ht="15" hidden="false" customHeight="false" outlineLevel="0" collapsed="false">
      <c r="B36" s="3" t="s">
        <v>11</v>
      </c>
      <c r="C36" s="3"/>
      <c r="D36" s="3"/>
      <c r="E36" s="3"/>
      <c r="F36" s="3"/>
      <c r="G36" s="3"/>
      <c r="H36" s="3"/>
      <c r="I36" s="3"/>
      <c r="J36" s="3"/>
      <c r="K36" s="3"/>
      <c r="L36" s="3"/>
    </row>
    <row r="37" customFormat="false" ht="15" hidden="false" customHeight="true" outlineLevel="0" collapsed="false">
      <c r="B37" s="10" t="s">
        <v>12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customFormat="false" ht="15" hidden="false" customHeight="false" outlineLevel="0" collapsed="false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customFormat="false" ht="15" hidden="false" customHeight="false" outlineLevel="0" collapsed="false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customFormat="false" ht="15" hidden="false" customHeight="false" outlineLevel="0" collapsed="false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</sheetData>
  <mergeCells count="21">
    <mergeCell ref="F2:L3"/>
    <mergeCell ref="F4:L4"/>
    <mergeCell ref="B10:L10"/>
    <mergeCell ref="B11:C11"/>
    <mergeCell ref="D11:E11"/>
    <mergeCell ref="F11:G11"/>
    <mergeCell ref="H11:I11"/>
    <mergeCell ref="J11:K11"/>
    <mergeCell ref="B12:C13"/>
    <mergeCell ref="D12:E13"/>
    <mergeCell ref="F12:G13"/>
    <mergeCell ref="H12:I13"/>
    <mergeCell ref="J12:K13"/>
    <mergeCell ref="B15:C15"/>
    <mergeCell ref="D15:G15"/>
    <mergeCell ref="H15:K15"/>
    <mergeCell ref="B16:C17"/>
    <mergeCell ref="D16:G17"/>
    <mergeCell ref="H16:K17"/>
    <mergeCell ref="B36:L36"/>
    <mergeCell ref="B37:L40"/>
  </mergeCells>
  <printOptions headings="false" gridLines="false" gridLinesSet="true" horizontalCentered="false" verticalCentered="false"/>
  <pageMargins left="0.25" right="0.25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54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7" min="3" style="0" width="18"/>
    <col collapsed="false" customWidth="true" hidden="false" outlineLevel="0" max="8" min="8" style="0" width="24"/>
  </cols>
  <sheetData>
    <row r="1" customFormat="false" ht="15" hidden="false" customHeight="false" outlineLevel="0" collapsed="false">
      <c r="A1" s="11" t="s">
        <v>13</v>
      </c>
      <c r="B1" s="11"/>
      <c r="C1" s="11"/>
      <c r="D1" s="11"/>
      <c r="E1" s="11"/>
      <c r="F1" s="11"/>
      <c r="G1" s="11"/>
      <c r="H1" s="11"/>
    </row>
    <row r="2" customFormat="false" ht="15" hidden="false" customHeight="false" outlineLevel="0" collapsed="false">
      <c r="A2" s="11"/>
      <c r="B2" s="11"/>
      <c r="C2" s="11"/>
      <c r="D2" s="11"/>
      <c r="E2" s="11"/>
      <c r="F2" s="11"/>
      <c r="G2" s="11"/>
      <c r="H2" s="11"/>
    </row>
    <row r="3" customFormat="false" ht="15" hidden="false" customHeight="false" outlineLevel="0" collapsed="false">
      <c r="A3" s="12" t="s">
        <v>14</v>
      </c>
      <c r="B3" s="12"/>
      <c r="C3" s="12"/>
      <c r="D3" s="12"/>
      <c r="E3" s="12"/>
      <c r="F3" s="12"/>
      <c r="G3" s="12"/>
      <c r="H3" s="12"/>
    </row>
    <row r="5" customFormat="false" ht="19.5" hidden="false" customHeight="true" outlineLevel="0" collapsed="false">
      <c r="B5" s="13" t="s">
        <v>15</v>
      </c>
      <c r="C5" s="13"/>
      <c r="D5" s="13"/>
      <c r="E5" s="13"/>
      <c r="F5" s="13"/>
      <c r="G5" s="13"/>
      <c r="H5" s="13"/>
    </row>
    <row r="6" customFormat="false" ht="15" hidden="false" customHeight="false" outlineLevel="0" collapsed="false">
      <c r="B6" s="0" t="s">
        <v>16</v>
      </c>
      <c r="C6" s="14" t="n">
        <v>375</v>
      </c>
    </row>
    <row r="7" customFormat="false" ht="15" hidden="false" customHeight="false" outlineLevel="0" collapsed="false">
      <c r="B7" s="0" t="s">
        <v>17</v>
      </c>
      <c r="C7" s="15" t="n">
        <v>22</v>
      </c>
    </row>
    <row r="8" customFormat="false" ht="15" hidden="false" customHeight="false" outlineLevel="0" collapsed="false">
      <c r="B8" s="0" t="s">
        <v>18</v>
      </c>
      <c r="C8" s="16" t="n">
        <v>4</v>
      </c>
    </row>
    <row r="9" customFormat="false" ht="15" hidden="false" customHeight="false" outlineLevel="0" collapsed="false">
      <c r="B9" s="0" t="s">
        <v>19</v>
      </c>
      <c r="C9" s="17" t="n">
        <v>0.3</v>
      </c>
    </row>
    <row r="10" customFormat="false" ht="15" hidden="false" customHeight="false" outlineLevel="0" collapsed="false">
      <c r="B10" s="0" t="s">
        <v>20</v>
      </c>
      <c r="C10" s="14" t="n">
        <v>7500</v>
      </c>
    </row>
    <row r="11" customFormat="false" ht="15" hidden="false" customHeight="false" outlineLevel="0" collapsed="false">
      <c r="B11" s="0" t="s">
        <v>21</v>
      </c>
      <c r="C11" s="17" t="n">
        <v>0.1</v>
      </c>
    </row>
    <row r="12" customFormat="false" ht="15" hidden="false" customHeight="false" outlineLevel="0" collapsed="false">
      <c r="B12" s="0" t="s">
        <v>22</v>
      </c>
      <c r="C12" s="14" t="n">
        <v>1750</v>
      </c>
    </row>
    <row r="13" customFormat="false" ht="15" hidden="false" customHeight="false" outlineLevel="0" collapsed="false">
      <c r="B13" s="0" t="s">
        <v>23</v>
      </c>
      <c r="C13" s="14" t="n">
        <v>1000</v>
      </c>
    </row>
    <row r="14" customFormat="false" ht="15" hidden="false" customHeight="false" outlineLevel="0" collapsed="false">
      <c r="B14" s="0" t="s">
        <v>24</v>
      </c>
      <c r="C14" s="14" t="n">
        <v>500</v>
      </c>
    </row>
    <row r="15" customFormat="false" ht="15" hidden="false" customHeight="false" outlineLevel="0" collapsed="false">
      <c r="B15" s="0" t="s">
        <v>25</v>
      </c>
      <c r="C15" s="14" t="n">
        <v>4000</v>
      </c>
    </row>
    <row r="16" customFormat="false" ht="15" hidden="false" customHeight="false" outlineLevel="0" collapsed="false">
      <c r="B16" s="0" t="s">
        <v>26</v>
      </c>
      <c r="C16" s="17" t="n">
        <v>0.04</v>
      </c>
    </row>
    <row r="17" customFormat="false" ht="15" hidden="false" customHeight="false" outlineLevel="0" collapsed="false">
      <c r="B17" s="0" t="s">
        <v>27</v>
      </c>
      <c r="C17" s="14" t="n">
        <v>1500</v>
      </c>
    </row>
    <row r="18" customFormat="false" ht="15" hidden="false" customHeight="false" outlineLevel="0" collapsed="false">
      <c r="B18" s="0" t="s">
        <v>28</v>
      </c>
      <c r="C18" s="14" t="n">
        <v>150</v>
      </c>
    </row>
    <row r="19" customFormat="false" ht="15" hidden="false" customHeight="false" outlineLevel="0" collapsed="false">
      <c r="B19" s="0" t="s">
        <v>29</v>
      </c>
      <c r="C19" s="14" t="n">
        <v>2000</v>
      </c>
    </row>
    <row r="20" customFormat="false" ht="15" hidden="false" customHeight="false" outlineLevel="0" collapsed="false">
      <c r="B20" s="0" t="s">
        <v>30</v>
      </c>
      <c r="C20" s="14" t="n">
        <v>200</v>
      </c>
    </row>
    <row r="21" customFormat="false" ht="15" hidden="false" customHeight="false" outlineLevel="0" collapsed="false">
      <c r="B21" s="0" t="s">
        <v>31</v>
      </c>
      <c r="C21" s="14" t="n">
        <v>35000</v>
      </c>
    </row>
    <row r="22" customFormat="false" ht="15" hidden="false" customHeight="false" outlineLevel="0" collapsed="false">
      <c r="B22" s="0" t="s">
        <v>32</v>
      </c>
      <c r="C22" s="17" t="n">
        <v>0.01</v>
      </c>
    </row>
    <row r="23" customFormat="false" ht="15" hidden="false" customHeight="false" outlineLevel="0" collapsed="false">
      <c r="B23" s="0" t="s">
        <v>33</v>
      </c>
      <c r="C23" s="17" t="n">
        <v>0.25</v>
      </c>
    </row>
    <row r="26" customFormat="false" ht="19.5" hidden="false" customHeight="true" outlineLevel="0" collapsed="false">
      <c r="B26" s="13" t="s">
        <v>34</v>
      </c>
      <c r="C26" s="13"/>
      <c r="D26" s="13"/>
      <c r="E26" s="13"/>
      <c r="F26" s="13"/>
      <c r="G26" s="13"/>
      <c r="H26" s="13"/>
    </row>
    <row r="27" customFormat="false" ht="15" hidden="false" customHeight="false" outlineLevel="0" collapsed="false">
      <c r="B27" s="18" t="s">
        <v>35</v>
      </c>
      <c r="C27" s="18" t="s">
        <v>36</v>
      </c>
      <c r="D27" s="18" t="s">
        <v>37</v>
      </c>
    </row>
    <row r="28" customFormat="false" ht="15" hidden="false" customHeight="false" outlineLevel="0" collapsed="false">
      <c r="B28" s="0" t="s">
        <v>38</v>
      </c>
      <c r="C28" s="16" t="n">
        <v>2.5</v>
      </c>
      <c r="D28" s="15" t="n">
        <v>2</v>
      </c>
    </row>
    <row r="29" customFormat="false" ht="15" hidden="false" customHeight="false" outlineLevel="0" collapsed="false">
      <c r="B29" s="0" t="s">
        <v>39</v>
      </c>
      <c r="C29" s="16" t="n">
        <v>2.8</v>
      </c>
      <c r="D29" s="15" t="n">
        <v>2</v>
      </c>
    </row>
    <row r="30" customFormat="false" ht="15" hidden="false" customHeight="false" outlineLevel="0" collapsed="false">
      <c r="B30" s="0" t="s">
        <v>40</v>
      </c>
      <c r="C30" s="16" t="n">
        <v>3</v>
      </c>
      <c r="D30" s="15" t="n">
        <v>2</v>
      </c>
    </row>
    <row r="31" customFormat="false" ht="15" hidden="false" customHeight="false" outlineLevel="0" collapsed="false">
      <c r="B31" s="0" t="s">
        <v>41</v>
      </c>
      <c r="C31" s="16" t="n">
        <v>3.2</v>
      </c>
      <c r="D31" s="15" t="n">
        <v>2</v>
      </c>
    </row>
    <row r="32" customFormat="false" ht="15" hidden="false" customHeight="false" outlineLevel="0" collapsed="false">
      <c r="B32" s="0" t="s">
        <v>42</v>
      </c>
      <c r="C32" s="16" t="n">
        <v>3.4</v>
      </c>
      <c r="D32" s="15" t="n">
        <v>2</v>
      </c>
    </row>
    <row r="33" customFormat="false" ht="15" hidden="false" customHeight="false" outlineLevel="0" collapsed="false">
      <c r="B33" s="0" t="s">
        <v>43</v>
      </c>
      <c r="C33" s="16" t="n">
        <v>3.6</v>
      </c>
      <c r="D33" s="15" t="n">
        <v>2</v>
      </c>
    </row>
    <row r="34" customFormat="false" ht="15" hidden="false" customHeight="false" outlineLevel="0" collapsed="false">
      <c r="B34" s="0" t="s">
        <v>44</v>
      </c>
      <c r="C34" s="16" t="n">
        <v>3.8</v>
      </c>
      <c r="D34" s="15" t="n">
        <v>2</v>
      </c>
    </row>
    <row r="35" customFormat="false" ht="15" hidden="false" customHeight="false" outlineLevel="0" collapsed="false">
      <c r="B35" s="0" t="s">
        <v>45</v>
      </c>
      <c r="C35" s="16" t="n">
        <v>4</v>
      </c>
      <c r="D35" s="15" t="n">
        <v>2</v>
      </c>
    </row>
    <row r="36" customFormat="false" ht="15" hidden="false" customHeight="false" outlineLevel="0" collapsed="false">
      <c r="B36" s="0" t="s">
        <v>46</v>
      </c>
      <c r="C36" s="16" t="n">
        <v>4</v>
      </c>
      <c r="D36" s="15" t="n">
        <v>2</v>
      </c>
    </row>
    <row r="37" customFormat="false" ht="15" hidden="false" customHeight="false" outlineLevel="0" collapsed="false">
      <c r="B37" s="0" t="s">
        <v>47</v>
      </c>
      <c r="C37" s="16" t="n">
        <v>4</v>
      </c>
      <c r="D37" s="15" t="n">
        <v>2</v>
      </c>
    </row>
    <row r="38" customFormat="false" ht="15" hidden="false" customHeight="false" outlineLevel="0" collapsed="false">
      <c r="B38" s="0" t="s">
        <v>48</v>
      </c>
      <c r="C38" s="16" t="n">
        <v>4</v>
      </c>
      <c r="D38" s="15" t="n">
        <v>2</v>
      </c>
    </row>
    <row r="39" customFormat="false" ht="15" hidden="false" customHeight="false" outlineLevel="0" collapsed="false">
      <c r="B39" s="0" t="s">
        <v>49</v>
      </c>
      <c r="C39" s="16" t="n">
        <v>4</v>
      </c>
      <c r="D39" s="15" t="n">
        <v>2</v>
      </c>
    </row>
    <row r="42" customFormat="false" ht="19.5" hidden="false" customHeight="true" outlineLevel="0" collapsed="false">
      <c r="B42" s="13" t="s">
        <v>50</v>
      </c>
      <c r="C42" s="13"/>
      <c r="D42" s="13"/>
      <c r="E42" s="13"/>
      <c r="F42" s="13"/>
      <c r="G42" s="13"/>
      <c r="H42" s="13"/>
    </row>
    <row r="43" customFormat="false" ht="15" hidden="false" customHeight="false" outlineLevel="0" collapsed="false">
      <c r="B43" s="18" t="s">
        <v>51</v>
      </c>
      <c r="C43" s="18" t="s">
        <v>52</v>
      </c>
      <c r="D43" s="18" t="s">
        <v>53</v>
      </c>
      <c r="E43" s="18" t="s">
        <v>54</v>
      </c>
      <c r="F43" s="18" t="s">
        <v>55</v>
      </c>
      <c r="G43" s="18" t="s">
        <v>56</v>
      </c>
      <c r="H43" s="18" t="s">
        <v>57</v>
      </c>
    </row>
    <row r="44" customFormat="false" ht="15" hidden="false" customHeight="false" outlineLevel="0" collapsed="false">
      <c r="B44" s="0" t="s">
        <v>58</v>
      </c>
      <c r="C44" s="14" t="n">
        <v>4500</v>
      </c>
      <c r="D44" s="15" t="n">
        <v>0</v>
      </c>
      <c r="E44" s="15" t="n">
        <v>1</v>
      </c>
      <c r="F44" s="15" t="n">
        <v>1</v>
      </c>
      <c r="G44" s="15" t="n">
        <v>2</v>
      </c>
      <c r="H44" s="15" t="n">
        <v>3</v>
      </c>
    </row>
    <row r="45" customFormat="false" ht="15" hidden="false" customHeight="false" outlineLevel="0" collapsed="false">
      <c r="B45" s="0" t="s">
        <v>59</v>
      </c>
      <c r="C45" s="14" t="n">
        <v>6500</v>
      </c>
      <c r="D45" s="15" t="n">
        <v>0</v>
      </c>
      <c r="E45" s="15" t="n">
        <v>0</v>
      </c>
      <c r="F45" s="15" t="n">
        <v>1</v>
      </c>
      <c r="G45" s="15" t="n">
        <v>1</v>
      </c>
      <c r="H45" s="15" t="n">
        <v>2</v>
      </c>
    </row>
    <row r="46" customFormat="false" ht="15" hidden="false" customHeight="false" outlineLevel="0" collapsed="false">
      <c r="B46" s="0" t="s">
        <v>60</v>
      </c>
      <c r="C46" s="14" t="n">
        <v>5500</v>
      </c>
      <c r="D46" s="15" t="n">
        <v>0</v>
      </c>
      <c r="E46" s="15" t="n">
        <v>0</v>
      </c>
      <c r="F46" s="15" t="n">
        <v>1</v>
      </c>
      <c r="G46" s="15" t="n">
        <v>1</v>
      </c>
      <c r="H46" s="15" t="n">
        <v>2</v>
      </c>
    </row>
    <row r="47" customFormat="false" ht="15" hidden="false" customHeight="false" outlineLevel="0" collapsed="false">
      <c r="B47" s="0" t="s">
        <v>61</v>
      </c>
      <c r="C47" s="14" t="n">
        <v>6500</v>
      </c>
      <c r="D47" s="15" t="n">
        <v>0</v>
      </c>
      <c r="E47" s="15" t="n">
        <v>0</v>
      </c>
      <c r="F47" s="15" t="n">
        <v>1</v>
      </c>
      <c r="G47" s="15" t="n">
        <v>2</v>
      </c>
      <c r="H47" s="15" t="n">
        <v>3</v>
      </c>
    </row>
    <row r="50" customFormat="false" ht="19.5" hidden="false" customHeight="true" outlineLevel="0" collapsed="false">
      <c r="B50" s="13" t="s">
        <v>62</v>
      </c>
      <c r="C50" s="13"/>
      <c r="D50" s="13"/>
      <c r="E50" s="13"/>
      <c r="F50" s="13"/>
      <c r="G50" s="13"/>
      <c r="H50" s="13"/>
    </row>
    <row r="51" customFormat="false" ht="15" hidden="false" customHeight="false" outlineLevel="0" collapsed="false">
      <c r="B51" s="18" t="s">
        <v>63</v>
      </c>
      <c r="C51" s="18" t="s">
        <v>64</v>
      </c>
      <c r="D51" s="18" t="s">
        <v>65</v>
      </c>
      <c r="E51" s="18" t="s">
        <v>66</v>
      </c>
      <c r="F51" s="18" t="s">
        <v>67</v>
      </c>
      <c r="G51" s="18" t="s">
        <v>68</v>
      </c>
    </row>
    <row r="52" customFormat="false" ht="15" hidden="false" customHeight="false" outlineLevel="0" collapsed="false">
      <c r="B52" s="0" t="s">
        <v>69</v>
      </c>
      <c r="C52" s="15" t="n">
        <v>2</v>
      </c>
      <c r="D52" s="15" t="n">
        <v>4</v>
      </c>
      <c r="E52" s="15" t="n">
        <v>8</v>
      </c>
      <c r="F52" s="15" t="n">
        <v>15</v>
      </c>
      <c r="G52" s="15" t="n">
        <v>25</v>
      </c>
    </row>
    <row r="53" customFormat="false" ht="15" hidden="false" customHeight="false" outlineLevel="0" collapsed="false">
      <c r="B53" s="0" t="s">
        <v>70</v>
      </c>
      <c r="C53" s="17" t="n">
        <v>0.88</v>
      </c>
      <c r="D53" s="17" t="n">
        <v>0.92</v>
      </c>
      <c r="E53" s="17" t="n">
        <v>0.95</v>
      </c>
      <c r="F53" s="17" t="n">
        <v>0.97</v>
      </c>
      <c r="G53" s="17" t="n">
        <v>1</v>
      </c>
    </row>
    <row r="54" customFormat="false" ht="15" hidden="false" customHeight="false" outlineLevel="0" collapsed="false">
      <c r="B54" s="0" t="s">
        <v>71</v>
      </c>
      <c r="C54" s="17" t="n">
        <v>0</v>
      </c>
      <c r="D54" s="17" t="n">
        <v>0.03</v>
      </c>
      <c r="E54" s="17" t="n">
        <v>0.03</v>
      </c>
      <c r="F54" s="17" t="n">
        <v>0.03</v>
      </c>
      <c r="G54" s="17" t="n">
        <v>0.03</v>
      </c>
    </row>
  </sheetData>
  <mergeCells count="6">
    <mergeCell ref="A1:H2"/>
    <mergeCell ref="A3:H3"/>
    <mergeCell ref="B5:H5"/>
    <mergeCell ref="B26:H26"/>
    <mergeCell ref="B42:H42"/>
    <mergeCell ref="B50:H50"/>
  </mergeCells>
  <printOptions headings="false" gridLines="false" gridLinesSet="true" horizontalCentered="false" verticalCentered="false"/>
  <pageMargins left="0.25" right="0.25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32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0"/>
    <col collapsed="false" customWidth="true" hidden="false" outlineLevel="0" max="13" min="2" style="0" width="14"/>
    <col collapsed="false" customWidth="true" hidden="false" outlineLevel="0" max="14" min="14" style="0" width="16"/>
  </cols>
  <sheetData>
    <row r="1" customFormat="false" ht="15" hidden="false" customHeight="false" outlineLevel="0" collapsed="false">
      <c r="A1" s="11" t="s">
        <v>72</v>
      </c>
      <c r="B1" s="11"/>
      <c r="C1" s="11"/>
      <c r="D1" s="11"/>
      <c r="E1" s="11"/>
      <c r="F1" s="11"/>
      <c r="G1" s="11"/>
      <c r="H1" s="11"/>
    </row>
    <row r="2" customFormat="false" ht="15" hidden="false" customHeight="false" outlineLevel="0" collapsed="false">
      <c r="A2" s="11"/>
      <c r="B2" s="11"/>
      <c r="C2" s="11"/>
      <c r="D2" s="11"/>
      <c r="E2" s="11"/>
      <c r="F2" s="11"/>
      <c r="G2" s="11"/>
      <c r="H2" s="11"/>
    </row>
    <row r="3" customFormat="false" ht="15" hidden="false" customHeight="false" outlineLevel="0" collapsed="false">
      <c r="A3" s="12" t="s">
        <v>73</v>
      </c>
      <c r="B3" s="12"/>
      <c r="C3" s="12"/>
      <c r="D3" s="12"/>
      <c r="E3" s="12"/>
      <c r="F3" s="12"/>
      <c r="G3" s="12"/>
      <c r="H3" s="12"/>
    </row>
    <row r="5" customFormat="false" ht="19.5" hidden="false" customHeight="true" outlineLevel="0" collapsed="false">
      <c r="A5" s="13" t="s">
        <v>74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customFormat="false" ht="15" hidden="false" customHeight="false" outlineLevel="0" collapsed="false">
      <c r="B6" s="19" t="s">
        <v>75</v>
      </c>
      <c r="C6" s="19" t="s">
        <v>76</v>
      </c>
      <c r="D6" s="19" t="s">
        <v>77</v>
      </c>
      <c r="E6" s="19" t="s">
        <v>78</v>
      </c>
      <c r="F6" s="19" t="s">
        <v>79</v>
      </c>
      <c r="G6" s="19" t="s">
        <v>80</v>
      </c>
      <c r="H6" s="19" t="s">
        <v>81</v>
      </c>
      <c r="I6" s="19" t="s">
        <v>82</v>
      </c>
      <c r="J6" s="19" t="s">
        <v>83</v>
      </c>
      <c r="K6" s="19" t="s">
        <v>84</v>
      </c>
      <c r="L6" s="19" t="s">
        <v>85</v>
      </c>
      <c r="M6" s="19" t="s">
        <v>86</v>
      </c>
      <c r="N6" s="19" t="s">
        <v>87</v>
      </c>
    </row>
    <row r="7" customFormat="false" ht="15" hidden="false" customHeight="false" outlineLevel="0" collapsed="false">
      <c r="A7" s="0" t="s">
        <v>37</v>
      </c>
      <c r="B7" s="20" t="n">
        <f aca="false">Assumptions!D28</f>
        <v>2</v>
      </c>
      <c r="C7" s="20" t="n">
        <f aca="false">Assumptions!D29</f>
        <v>2</v>
      </c>
      <c r="D7" s="20" t="n">
        <f aca="false">Assumptions!D30</f>
        <v>2</v>
      </c>
      <c r="E7" s="20" t="n">
        <f aca="false">Assumptions!D31</f>
        <v>2</v>
      </c>
      <c r="F7" s="20" t="n">
        <f aca="false">Assumptions!D32</f>
        <v>2</v>
      </c>
      <c r="G7" s="20" t="n">
        <f aca="false">Assumptions!D33</f>
        <v>2</v>
      </c>
      <c r="H7" s="20" t="n">
        <f aca="false">Assumptions!D34</f>
        <v>2</v>
      </c>
      <c r="I7" s="20" t="n">
        <f aca="false">Assumptions!D35</f>
        <v>2</v>
      </c>
      <c r="J7" s="20" t="n">
        <f aca="false">Assumptions!D36</f>
        <v>2</v>
      </c>
      <c r="K7" s="20" t="n">
        <f aca="false">Assumptions!D37</f>
        <v>2</v>
      </c>
      <c r="L7" s="20" t="n">
        <f aca="false">Assumptions!D38</f>
        <v>2</v>
      </c>
      <c r="M7" s="20" t="n">
        <f aca="false">Assumptions!D39</f>
        <v>2</v>
      </c>
      <c r="N7" s="21" t="n">
        <f aca="false">AVERAGE(B7:M7)</f>
        <v>2</v>
      </c>
    </row>
    <row r="8" customFormat="false" ht="15" hidden="false" customHeight="false" outlineLevel="0" collapsed="false">
      <c r="A8" s="0" t="s">
        <v>88</v>
      </c>
      <c r="B8" s="22" t="n">
        <f aca="false">Assumptions!C28</f>
        <v>2.5</v>
      </c>
      <c r="C8" s="22" t="n">
        <f aca="false">Assumptions!C29</f>
        <v>2.8</v>
      </c>
      <c r="D8" s="22" t="n">
        <f aca="false">Assumptions!C30</f>
        <v>3</v>
      </c>
      <c r="E8" s="22" t="n">
        <f aca="false">Assumptions!C31</f>
        <v>3.2</v>
      </c>
      <c r="F8" s="22" t="n">
        <f aca="false">Assumptions!C32</f>
        <v>3.4</v>
      </c>
      <c r="G8" s="22" t="n">
        <f aca="false">Assumptions!C33</f>
        <v>3.6</v>
      </c>
      <c r="H8" s="22" t="n">
        <f aca="false">Assumptions!C34</f>
        <v>3.8</v>
      </c>
      <c r="I8" s="22" t="n">
        <f aca="false">Assumptions!C35</f>
        <v>4</v>
      </c>
      <c r="J8" s="22" t="n">
        <f aca="false">Assumptions!C36</f>
        <v>4</v>
      </c>
      <c r="K8" s="22" t="n">
        <f aca="false">Assumptions!C37</f>
        <v>4</v>
      </c>
      <c r="L8" s="22" t="n">
        <f aca="false">Assumptions!C38</f>
        <v>4</v>
      </c>
      <c r="M8" s="22" t="n">
        <f aca="false">Assumptions!C39</f>
        <v>4</v>
      </c>
      <c r="N8" s="21" t="n">
        <f aca="false">AVERAGE(B8:M8)</f>
        <v>3.525</v>
      </c>
    </row>
    <row r="9" customFormat="false" ht="15" hidden="false" customHeight="false" outlineLevel="0" collapsed="false">
      <c r="A9" s="0" t="s">
        <v>89</v>
      </c>
      <c r="B9" s="20" t="n">
        <f aca="false">Assumptions!$C$7</f>
        <v>22</v>
      </c>
      <c r="C9" s="20" t="n">
        <f aca="false">Assumptions!$C$7</f>
        <v>22</v>
      </c>
      <c r="D9" s="20" t="n">
        <f aca="false">Assumptions!$C$7</f>
        <v>22</v>
      </c>
      <c r="E9" s="20" t="n">
        <f aca="false">Assumptions!$C$7</f>
        <v>22</v>
      </c>
      <c r="F9" s="20" t="n">
        <f aca="false">Assumptions!$C$7</f>
        <v>22</v>
      </c>
      <c r="G9" s="20" t="n">
        <f aca="false">Assumptions!$C$7</f>
        <v>22</v>
      </c>
      <c r="H9" s="20" t="n">
        <f aca="false">Assumptions!$C$7</f>
        <v>22</v>
      </c>
      <c r="I9" s="20" t="n">
        <f aca="false">Assumptions!$C$7</f>
        <v>22</v>
      </c>
      <c r="J9" s="20" t="n">
        <f aca="false">Assumptions!$C$7</f>
        <v>22</v>
      </c>
      <c r="K9" s="20" t="n">
        <f aca="false">Assumptions!$C$7</f>
        <v>22</v>
      </c>
      <c r="L9" s="20" t="n">
        <f aca="false">Assumptions!$C$7</f>
        <v>22</v>
      </c>
      <c r="M9" s="20" t="n">
        <f aca="false">Assumptions!$C$7</f>
        <v>22</v>
      </c>
      <c r="N9" s="23" t="n">
        <f aca="false">SUM(B9:M9)</f>
        <v>264</v>
      </c>
    </row>
    <row r="10" customFormat="false" ht="15" hidden="false" customHeight="false" outlineLevel="0" collapsed="false">
      <c r="A10" s="0" t="s">
        <v>16</v>
      </c>
      <c r="B10" s="24" t="n">
        <f aca="false">Assumptions!$C$6</f>
        <v>375</v>
      </c>
      <c r="C10" s="24" t="n">
        <f aca="false">Assumptions!$C$6</f>
        <v>375</v>
      </c>
      <c r="D10" s="24" t="n">
        <f aca="false">Assumptions!$C$6</f>
        <v>375</v>
      </c>
      <c r="E10" s="24" t="n">
        <f aca="false">Assumptions!$C$6</f>
        <v>375</v>
      </c>
      <c r="F10" s="24" t="n">
        <f aca="false">Assumptions!$C$6</f>
        <v>375</v>
      </c>
      <c r="G10" s="24" t="n">
        <f aca="false">Assumptions!$C$6</f>
        <v>375</v>
      </c>
      <c r="H10" s="24" t="n">
        <f aca="false">Assumptions!$C$6</f>
        <v>375</v>
      </c>
      <c r="I10" s="24" t="n">
        <f aca="false">Assumptions!$C$6</f>
        <v>375</v>
      </c>
      <c r="J10" s="24" t="n">
        <f aca="false">Assumptions!$C$6</f>
        <v>375</v>
      </c>
      <c r="K10" s="24" t="n">
        <f aca="false">Assumptions!$C$6</f>
        <v>375</v>
      </c>
      <c r="L10" s="24" t="n">
        <f aca="false">Assumptions!$C$6</f>
        <v>375</v>
      </c>
      <c r="M10" s="24" t="n">
        <f aca="false">Assumptions!$C$6</f>
        <v>375</v>
      </c>
      <c r="N10" s="25" t="n">
        <f aca="false">AVERAGE(B10:M10)</f>
        <v>375</v>
      </c>
    </row>
    <row r="11" customFormat="false" ht="15" hidden="false" customHeight="false" outlineLevel="0" collapsed="false">
      <c r="A11" s="0" t="s">
        <v>90</v>
      </c>
      <c r="B11" s="23" t="n">
        <f aca="false">B7*B8*B9</f>
        <v>110</v>
      </c>
      <c r="C11" s="23" t="n">
        <f aca="false">C7*C8*C9</f>
        <v>123.2</v>
      </c>
      <c r="D11" s="23" t="n">
        <f aca="false">D7*D8*D9</f>
        <v>132</v>
      </c>
      <c r="E11" s="23" t="n">
        <f aca="false">E7*E8*E9</f>
        <v>140.8</v>
      </c>
      <c r="F11" s="23" t="n">
        <f aca="false">F7*F8*F9</f>
        <v>149.6</v>
      </c>
      <c r="G11" s="23" t="n">
        <f aca="false">G7*G8*G9</f>
        <v>158.4</v>
      </c>
      <c r="H11" s="23" t="n">
        <f aca="false">H7*H8*H9</f>
        <v>167.2</v>
      </c>
      <c r="I11" s="23" t="n">
        <f aca="false">I7*I8*I9</f>
        <v>176</v>
      </c>
      <c r="J11" s="23" t="n">
        <f aca="false">J7*J8*J9</f>
        <v>176</v>
      </c>
      <c r="K11" s="23" t="n">
        <f aca="false">K7*K8*K9</f>
        <v>176</v>
      </c>
      <c r="L11" s="23" t="n">
        <f aca="false">L7*L8*L9</f>
        <v>176</v>
      </c>
      <c r="M11" s="23" t="n">
        <f aca="false">M7*M8*M9</f>
        <v>176</v>
      </c>
      <c r="N11" s="23" t="n">
        <f aca="false">SUM(B11:M11)</f>
        <v>1861.2</v>
      </c>
    </row>
    <row r="12" customFormat="false" ht="15" hidden="false" customHeight="false" outlineLevel="0" collapsed="false">
      <c r="A12" s="0" t="s">
        <v>91</v>
      </c>
      <c r="B12" s="25" t="n">
        <f aca="false">B11*B10</f>
        <v>41250</v>
      </c>
      <c r="C12" s="25" t="n">
        <f aca="false">C11*C10</f>
        <v>46200</v>
      </c>
      <c r="D12" s="25" t="n">
        <f aca="false">D11*D10</f>
        <v>49500</v>
      </c>
      <c r="E12" s="25" t="n">
        <f aca="false">E11*E10</f>
        <v>52800</v>
      </c>
      <c r="F12" s="25" t="n">
        <f aca="false">F11*F10</f>
        <v>56100</v>
      </c>
      <c r="G12" s="25" t="n">
        <f aca="false">G11*G10</f>
        <v>59400</v>
      </c>
      <c r="H12" s="25" t="n">
        <f aca="false">H11*H10</f>
        <v>62700</v>
      </c>
      <c r="I12" s="25" t="n">
        <f aca="false">I11*I10</f>
        <v>66000</v>
      </c>
      <c r="J12" s="25" t="n">
        <f aca="false">J11*J10</f>
        <v>66000</v>
      </c>
      <c r="K12" s="25" t="n">
        <f aca="false">K11*K10</f>
        <v>66000</v>
      </c>
      <c r="L12" s="25" t="n">
        <f aca="false">L11*L10</f>
        <v>66000</v>
      </c>
      <c r="M12" s="25" t="n">
        <f aca="false">M11*M10</f>
        <v>66000</v>
      </c>
      <c r="N12" s="25" t="n">
        <f aca="false">SUM(B12:M12)</f>
        <v>697950</v>
      </c>
    </row>
    <row r="14" customFormat="false" ht="19.5" hidden="false" customHeight="true" outlineLevel="0" collapsed="false">
      <c r="A14" s="13" t="s">
        <v>92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customFormat="false" ht="15" hidden="false" customHeight="false" outlineLevel="0" collapsed="false">
      <c r="A15" s="0" t="s">
        <v>91</v>
      </c>
      <c r="B15" s="25" t="n">
        <f aca="false">B12</f>
        <v>41250</v>
      </c>
      <c r="C15" s="25" t="n">
        <f aca="false">C12</f>
        <v>46200</v>
      </c>
      <c r="D15" s="25" t="n">
        <f aca="false">D12</f>
        <v>49500</v>
      </c>
      <c r="E15" s="25" t="n">
        <f aca="false">E12</f>
        <v>52800</v>
      </c>
      <c r="F15" s="25" t="n">
        <f aca="false">F12</f>
        <v>56100</v>
      </c>
      <c r="G15" s="25" t="n">
        <f aca="false">G12</f>
        <v>59400</v>
      </c>
      <c r="H15" s="25" t="n">
        <f aca="false">H12</f>
        <v>62700</v>
      </c>
      <c r="I15" s="25" t="n">
        <f aca="false">I12</f>
        <v>66000</v>
      </c>
      <c r="J15" s="25" t="n">
        <f aca="false">J12</f>
        <v>66000</v>
      </c>
      <c r="K15" s="25" t="n">
        <f aca="false">K12</f>
        <v>66000</v>
      </c>
      <c r="L15" s="25" t="n">
        <f aca="false">L12</f>
        <v>66000</v>
      </c>
      <c r="M15" s="25" t="n">
        <f aca="false">M12</f>
        <v>66000</v>
      </c>
      <c r="N15" s="25" t="n">
        <f aca="false">SUM(B15:M15)</f>
        <v>697950</v>
      </c>
    </row>
    <row r="16" customFormat="false" ht="15" hidden="false" customHeight="false" outlineLevel="0" collapsed="false">
      <c r="A16" s="0" t="s">
        <v>93</v>
      </c>
      <c r="B16" s="25" t="n">
        <f aca="false">-B15*Assumptions!$C$9</f>
        <v>-12375</v>
      </c>
      <c r="C16" s="25" t="n">
        <f aca="false">-C15*Assumptions!$C$9</f>
        <v>-13860</v>
      </c>
      <c r="D16" s="25" t="n">
        <f aca="false">-D15*Assumptions!$C$9</f>
        <v>-14850</v>
      </c>
      <c r="E16" s="25" t="n">
        <f aca="false">-E15*Assumptions!$C$9</f>
        <v>-15840</v>
      </c>
      <c r="F16" s="25" t="n">
        <f aca="false">-F15*Assumptions!$C$9</f>
        <v>-16830</v>
      </c>
      <c r="G16" s="25" t="n">
        <f aca="false">-G15*Assumptions!$C$9</f>
        <v>-17820</v>
      </c>
      <c r="H16" s="25" t="n">
        <f aca="false">-H15*Assumptions!$C$9</f>
        <v>-18810</v>
      </c>
      <c r="I16" s="25" t="n">
        <f aca="false">-I15*Assumptions!$C$9</f>
        <v>-19800</v>
      </c>
      <c r="J16" s="25" t="n">
        <f aca="false">-J15*Assumptions!$C$9</f>
        <v>-19800</v>
      </c>
      <c r="K16" s="25" t="n">
        <f aca="false">-K15*Assumptions!$C$9</f>
        <v>-19800</v>
      </c>
      <c r="L16" s="25" t="n">
        <f aca="false">-L15*Assumptions!$C$9</f>
        <v>-19800</v>
      </c>
      <c r="M16" s="25" t="n">
        <f aca="false">-M15*Assumptions!$C$9</f>
        <v>-19800</v>
      </c>
      <c r="N16" s="25" t="n">
        <f aca="false">SUM(B16:M16)</f>
        <v>-209385</v>
      </c>
    </row>
    <row r="17" customFormat="false" ht="15" hidden="false" customHeight="false" outlineLevel="0" collapsed="false">
      <c r="A17" s="26" t="s">
        <v>94</v>
      </c>
      <c r="B17" s="27" t="n">
        <f aca="false">SUM(B15:B16)</f>
        <v>28875</v>
      </c>
      <c r="C17" s="27" t="n">
        <f aca="false">SUM(C15:C16)</f>
        <v>32340</v>
      </c>
      <c r="D17" s="27" t="n">
        <f aca="false">SUM(D15:D16)</f>
        <v>34650</v>
      </c>
      <c r="E17" s="27" t="n">
        <f aca="false">SUM(E15:E16)</f>
        <v>36960</v>
      </c>
      <c r="F17" s="27" t="n">
        <f aca="false">SUM(F15:F16)</f>
        <v>39270</v>
      </c>
      <c r="G17" s="27" t="n">
        <f aca="false">SUM(G15:G16)</f>
        <v>41580</v>
      </c>
      <c r="H17" s="27" t="n">
        <f aca="false">SUM(H15:H16)</f>
        <v>43890</v>
      </c>
      <c r="I17" s="27" t="n">
        <f aca="false">SUM(I15:I16)</f>
        <v>46200</v>
      </c>
      <c r="J17" s="27" t="n">
        <f aca="false">SUM(J15:J16)</f>
        <v>46200</v>
      </c>
      <c r="K17" s="27" t="n">
        <f aca="false">SUM(K15:K16)</f>
        <v>46200</v>
      </c>
      <c r="L17" s="27" t="n">
        <f aca="false">SUM(L15:L16)</f>
        <v>46200</v>
      </c>
      <c r="M17" s="27" t="n">
        <f aca="false">SUM(M15:M16)</f>
        <v>46200</v>
      </c>
      <c r="N17" s="28" t="n">
        <f aca="false">SUM(B17:M17)</f>
        <v>488565</v>
      </c>
    </row>
    <row r="18" customFormat="false" ht="15" hidden="false" customHeight="false" outlineLevel="0" collapsed="false">
      <c r="A18" s="0" t="s">
        <v>95</v>
      </c>
      <c r="B18" s="29" t="n">
        <f aca="false">IFERROR(B17/B15,0)</f>
        <v>0.7</v>
      </c>
      <c r="C18" s="29" t="n">
        <f aca="false">IFERROR(C17/C15,0)</f>
        <v>0.7</v>
      </c>
      <c r="D18" s="29" t="n">
        <f aca="false">IFERROR(D17/D15,0)</f>
        <v>0.7</v>
      </c>
      <c r="E18" s="29" t="n">
        <f aca="false">IFERROR(E17/E15,0)</f>
        <v>0.7</v>
      </c>
      <c r="F18" s="29" t="n">
        <f aca="false">IFERROR(F17/F15,0)</f>
        <v>0.7</v>
      </c>
      <c r="G18" s="29" t="n">
        <f aca="false">IFERROR(G17/G15,0)</f>
        <v>0.7</v>
      </c>
      <c r="H18" s="29" t="n">
        <f aca="false">IFERROR(H17/H15,0)</f>
        <v>0.7</v>
      </c>
      <c r="I18" s="29" t="n">
        <f aca="false">IFERROR(I17/I15,0)</f>
        <v>0.7</v>
      </c>
      <c r="J18" s="29" t="n">
        <f aca="false">IFERROR(J17/J15,0)</f>
        <v>0.7</v>
      </c>
      <c r="K18" s="29" t="n">
        <f aca="false">IFERROR(K17/K15,0)</f>
        <v>0.7</v>
      </c>
      <c r="L18" s="29" t="n">
        <f aca="false">IFERROR(L17/L15,0)</f>
        <v>0.7</v>
      </c>
      <c r="M18" s="29" t="n">
        <f aca="false">IFERROR(M17/M15,0)</f>
        <v>0.7</v>
      </c>
      <c r="N18" s="29" t="n">
        <f aca="false">IFERROR(N17/N15,0)</f>
        <v>0.7</v>
      </c>
    </row>
    <row r="20" customFormat="false" ht="15" hidden="false" customHeight="false" outlineLevel="0" collapsed="false">
      <c r="A20" s="0" t="s">
        <v>96</v>
      </c>
      <c r="B20" s="25" t="n">
        <f aca="false">-B7*Assumptions!$C$10</f>
        <v>-15000</v>
      </c>
      <c r="C20" s="25" t="n">
        <f aca="false">-C7*Assumptions!$C$10</f>
        <v>-15000</v>
      </c>
      <c r="D20" s="25" t="n">
        <f aca="false">-D7*Assumptions!$C$10</f>
        <v>-15000</v>
      </c>
      <c r="E20" s="25" t="n">
        <f aca="false">-E7*Assumptions!$C$10</f>
        <v>-15000</v>
      </c>
      <c r="F20" s="25" t="n">
        <f aca="false">-F7*Assumptions!$C$10</f>
        <v>-15000</v>
      </c>
      <c r="G20" s="25" t="n">
        <f aca="false">-G7*Assumptions!$C$10</f>
        <v>-15000</v>
      </c>
      <c r="H20" s="25" t="n">
        <f aca="false">-H7*Assumptions!$C$10</f>
        <v>-15000</v>
      </c>
      <c r="I20" s="25" t="n">
        <f aca="false">-I7*Assumptions!$C$10</f>
        <v>-15000</v>
      </c>
      <c r="J20" s="25" t="n">
        <f aca="false">-J7*Assumptions!$C$10</f>
        <v>-15000</v>
      </c>
      <c r="K20" s="25" t="n">
        <f aca="false">-K7*Assumptions!$C$10</f>
        <v>-15000</v>
      </c>
      <c r="L20" s="25" t="n">
        <f aca="false">-L7*Assumptions!$C$10</f>
        <v>-15000</v>
      </c>
      <c r="M20" s="25" t="n">
        <f aca="false">-M7*Assumptions!$C$10</f>
        <v>-15000</v>
      </c>
      <c r="N20" s="25" t="n">
        <f aca="false">SUM(B20:M20)</f>
        <v>-180000</v>
      </c>
    </row>
    <row r="21" customFormat="false" ht="15" hidden="false" customHeight="false" outlineLevel="0" collapsed="false">
      <c r="A21" s="0" t="s">
        <v>21</v>
      </c>
      <c r="B21" s="25" t="n">
        <f aca="false">B20*Assumptions!$C$11</f>
        <v>-1500</v>
      </c>
      <c r="C21" s="25" t="n">
        <f aca="false">C20*Assumptions!$C$11</f>
        <v>-1500</v>
      </c>
      <c r="D21" s="25" t="n">
        <f aca="false">D20*Assumptions!$C$11</f>
        <v>-1500</v>
      </c>
      <c r="E21" s="25" t="n">
        <f aca="false">E20*Assumptions!$C$11</f>
        <v>-1500</v>
      </c>
      <c r="F21" s="25" t="n">
        <f aca="false">F20*Assumptions!$C$11</f>
        <v>-1500</v>
      </c>
      <c r="G21" s="25" t="n">
        <f aca="false">G20*Assumptions!$C$11</f>
        <v>-1500</v>
      </c>
      <c r="H21" s="25" t="n">
        <f aca="false">H20*Assumptions!$C$11</f>
        <v>-1500</v>
      </c>
      <c r="I21" s="25" t="n">
        <f aca="false">I20*Assumptions!$C$11</f>
        <v>-1500</v>
      </c>
      <c r="J21" s="25" t="n">
        <f aca="false">J20*Assumptions!$C$11</f>
        <v>-1500</v>
      </c>
      <c r="K21" s="25" t="n">
        <f aca="false">K20*Assumptions!$C$11</f>
        <v>-1500</v>
      </c>
      <c r="L21" s="25" t="n">
        <f aca="false">L20*Assumptions!$C$11</f>
        <v>-1500</v>
      </c>
      <c r="M21" s="25" t="n">
        <f aca="false">M20*Assumptions!$C$11</f>
        <v>-1500</v>
      </c>
      <c r="N21" s="25" t="n">
        <f aca="false">SUM(B21:M21)</f>
        <v>-18000</v>
      </c>
    </row>
    <row r="22" customFormat="false" ht="15" hidden="false" customHeight="false" outlineLevel="0" collapsed="false">
      <c r="A22" s="0" t="s">
        <v>97</v>
      </c>
      <c r="B22" s="25" t="n">
        <f aca="false">-B7*Assumptions!$C$12</f>
        <v>-3500</v>
      </c>
      <c r="C22" s="25" t="n">
        <f aca="false">-C7*Assumptions!$C$12</f>
        <v>-3500</v>
      </c>
      <c r="D22" s="25" t="n">
        <f aca="false">-D7*Assumptions!$C$12</f>
        <v>-3500</v>
      </c>
      <c r="E22" s="25" t="n">
        <f aca="false">-E7*Assumptions!$C$12</f>
        <v>-3500</v>
      </c>
      <c r="F22" s="25" t="n">
        <f aca="false">-F7*Assumptions!$C$12</f>
        <v>-3500</v>
      </c>
      <c r="G22" s="25" t="n">
        <f aca="false">-G7*Assumptions!$C$12</f>
        <v>-3500</v>
      </c>
      <c r="H22" s="25" t="n">
        <f aca="false">-H7*Assumptions!$C$12</f>
        <v>-3500</v>
      </c>
      <c r="I22" s="25" t="n">
        <f aca="false">-I7*Assumptions!$C$12</f>
        <v>-3500</v>
      </c>
      <c r="J22" s="25" t="n">
        <f aca="false">-J7*Assumptions!$C$12</f>
        <v>-3500</v>
      </c>
      <c r="K22" s="25" t="n">
        <f aca="false">-K7*Assumptions!$C$12</f>
        <v>-3500</v>
      </c>
      <c r="L22" s="25" t="n">
        <f aca="false">-L7*Assumptions!$C$12</f>
        <v>-3500</v>
      </c>
      <c r="M22" s="25" t="n">
        <f aca="false">-M7*Assumptions!$C$12</f>
        <v>-3500</v>
      </c>
      <c r="N22" s="25" t="n">
        <f aca="false">SUM(B22:M22)</f>
        <v>-42000</v>
      </c>
    </row>
    <row r="23" customFormat="false" ht="15" hidden="false" customHeight="false" outlineLevel="0" collapsed="false">
      <c r="A23" s="0" t="s">
        <v>98</v>
      </c>
      <c r="B23" s="25" t="n">
        <f aca="false">-(Assumptions!$C$13+B7*Assumptions!$C$14)</f>
        <v>-2000</v>
      </c>
      <c r="C23" s="25" t="n">
        <f aca="false">-(Assumptions!$C$13+C7*Assumptions!$C$14)</f>
        <v>-2000</v>
      </c>
      <c r="D23" s="25" t="n">
        <f aca="false">-(Assumptions!$C$13+D7*Assumptions!$C$14)</f>
        <v>-2000</v>
      </c>
      <c r="E23" s="25" t="n">
        <f aca="false">-(Assumptions!$C$13+E7*Assumptions!$C$14)</f>
        <v>-2000</v>
      </c>
      <c r="F23" s="25" t="n">
        <f aca="false">-(Assumptions!$C$13+F7*Assumptions!$C$14)</f>
        <v>-2000</v>
      </c>
      <c r="G23" s="25" t="n">
        <f aca="false">-(Assumptions!$C$13+G7*Assumptions!$C$14)</f>
        <v>-2000</v>
      </c>
      <c r="H23" s="25" t="n">
        <f aca="false">-(Assumptions!$C$13+H7*Assumptions!$C$14)</f>
        <v>-2000</v>
      </c>
      <c r="I23" s="25" t="n">
        <f aca="false">-(Assumptions!$C$13+I7*Assumptions!$C$14)</f>
        <v>-2000</v>
      </c>
      <c r="J23" s="25" t="n">
        <f aca="false">-(Assumptions!$C$13+J7*Assumptions!$C$14)</f>
        <v>-2000</v>
      </c>
      <c r="K23" s="25" t="n">
        <f aca="false">-(Assumptions!$C$13+K7*Assumptions!$C$14)</f>
        <v>-2000</v>
      </c>
      <c r="L23" s="25" t="n">
        <f aca="false">-(Assumptions!$C$13+L7*Assumptions!$C$14)</f>
        <v>-2000</v>
      </c>
      <c r="M23" s="25" t="n">
        <f aca="false">-(Assumptions!$C$13+M7*Assumptions!$C$14)</f>
        <v>-2000</v>
      </c>
      <c r="N23" s="25" t="n">
        <f aca="false">SUM(B23:M23)</f>
        <v>-24000</v>
      </c>
    </row>
    <row r="24" customFormat="false" ht="15" hidden="false" customHeight="false" outlineLevel="0" collapsed="false">
      <c r="A24" s="0" t="s">
        <v>99</v>
      </c>
      <c r="B24" s="25" t="n">
        <f aca="false">-MAX(Assumptions!$C$15,B15*Assumptions!$C$16)</f>
        <v>-4000</v>
      </c>
      <c r="C24" s="25" t="n">
        <f aca="false">-MAX(Assumptions!$C$15,C15*Assumptions!$C$16)</f>
        <v>-4000</v>
      </c>
      <c r="D24" s="25" t="n">
        <f aca="false">-MAX(Assumptions!$C$15,D15*Assumptions!$C$16)</f>
        <v>-4000</v>
      </c>
      <c r="E24" s="25" t="n">
        <f aca="false">-MAX(Assumptions!$C$15,E15*Assumptions!$C$16)</f>
        <v>-4000</v>
      </c>
      <c r="F24" s="25" t="n">
        <f aca="false">-MAX(Assumptions!$C$15,F15*Assumptions!$C$16)</f>
        <v>-4000</v>
      </c>
      <c r="G24" s="25" t="n">
        <f aca="false">-MAX(Assumptions!$C$15,G15*Assumptions!$C$16)</f>
        <v>-4000</v>
      </c>
      <c r="H24" s="25" t="n">
        <f aca="false">-MAX(Assumptions!$C$15,H15*Assumptions!$C$16)</f>
        <v>-4000</v>
      </c>
      <c r="I24" s="25" t="n">
        <f aca="false">-MAX(Assumptions!$C$15,I15*Assumptions!$C$16)</f>
        <v>-4000</v>
      </c>
      <c r="J24" s="25" t="n">
        <f aca="false">-MAX(Assumptions!$C$15,J15*Assumptions!$C$16)</f>
        <v>-4000</v>
      </c>
      <c r="K24" s="25" t="n">
        <f aca="false">-MAX(Assumptions!$C$15,K15*Assumptions!$C$16)</f>
        <v>-4000</v>
      </c>
      <c r="L24" s="25" t="n">
        <f aca="false">-MAX(Assumptions!$C$15,L15*Assumptions!$C$16)</f>
        <v>-4000</v>
      </c>
      <c r="M24" s="25" t="n">
        <f aca="false">-MAX(Assumptions!$C$15,M15*Assumptions!$C$16)</f>
        <v>-4000</v>
      </c>
      <c r="N24" s="25" t="n">
        <f aca="false">SUM(B24:M24)</f>
        <v>-48000</v>
      </c>
    </row>
    <row r="25" customFormat="false" ht="15" hidden="false" customHeight="false" outlineLevel="0" collapsed="false">
      <c r="A25" s="0" t="s">
        <v>100</v>
      </c>
      <c r="B25" s="25" t="n">
        <f aca="false">-(Assumptions!$C$17+B7*Assumptions!$C$18)</f>
        <v>-1800</v>
      </c>
      <c r="C25" s="25" t="n">
        <f aca="false">-(Assumptions!$C$17+C7*Assumptions!$C$18)</f>
        <v>-1800</v>
      </c>
      <c r="D25" s="25" t="n">
        <f aca="false">-(Assumptions!$C$17+D7*Assumptions!$C$18)</f>
        <v>-1800</v>
      </c>
      <c r="E25" s="25" t="n">
        <f aca="false">-(Assumptions!$C$17+E7*Assumptions!$C$18)</f>
        <v>-1800</v>
      </c>
      <c r="F25" s="25" t="n">
        <f aca="false">-(Assumptions!$C$17+F7*Assumptions!$C$18)</f>
        <v>-1800</v>
      </c>
      <c r="G25" s="25" t="n">
        <f aca="false">-(Assumptions!$C$17+G7*Assumptions!$C$18)</f>
        <v>-1800</v>
      </c>
      <c r="H25" s="25" t="n">
        <f aca="false">-(Assumptions!$C$17+H7*Assumptions!$C$18)</f>
        <v>-1800</v>
      </c>
      <c r="I25" s="25" t="n">
        <f aca="false">-(Assumptions!$C$17+I7*Assumptions!$C$18)</f>
        <v>-1800</v>
      </c>
      <c r="J25" s="25" t="n">
        <f aca="false">-(Assumptions!$C$17+J7*Assumptions!$C$18)</f>
        <v>-1800</v>
      </c>
      <c r="K25" s="25" t="n">
        <f aca="false">-(Assumptions!$C$17+K7*Assumptions!$C$18)</f>
        <v>-1800</v>
      </c>
      <c r="L25" s="25" t="n">
        <f aca="false">-(Assumptions!$C$17+L7*Assumptions!$C$18)</f>
        <v>-1800</v>
      </c>
      <c r="M25" s="25" t="n">
        <f aca="false">-(Assumptions!$C$17+M7*Assumptions!$C$18)</f>
        <v>-1800</v>
      </c>
      <c r="N25" s="25" t="n">
        <f aca="false">SUM(B25:M25)</f>
        <v>-21600</v>
      </c>
    </row>
    <row r="26" customFormat="false" ht="15" hidden="false" customHeight="false" outlineLevel="0" collapsed="false">
      <c r="A26" s="0" t="s">
        <v>101</v>
      </c>
      <c r="B26" s="25" t="n">
        <f aca="false">-(Assumptions!$C$19+B7*Assumptions!$C$20)</f>
        <v>-2400</v>
      </c>
      <c r="C26" s="25" t="n">
        <f aca="false">-(Assumptions!$C$19+C7*Assumptions!$C$20)</f>
        <v>-2400</v>
      </c>
      <c r="D26" s="25" t="n">
        <f aca="false">-(Assumptions!$C$19+D7*Assumptions!$C$20)</f>
        <v>-2400</v>
      </c>
      <c r="E26" s="25" t="n">
        <f aca="false">-(Assumptions!$C$19+E7*Assumptions!$C$20)</f>
        <v>-2400</v>
      </c>
      <c r="F26" s="25" t="n">
        <f aca="false">-(Assumptions!$C$19+F7*Assumptions!$C$20)</f>
        <v>-2400</v>
      </c>
      <c r="G26" s="25" t="n">
        <f aca="false">-(Assumptions!$C$19+G7*Assumptions!$C$20)</f>
        <v>-2400</v>
      </c>
      <c r="H26" s="25" t="n">
        <f aca="false">-(Assumptions!$C$19+H7*Assumptions!$C$20)</f>
        <v>-2400</v>
      </c>
      <c r="I26" s="25" t="n">
        <f aca="false">-(Assumptions!$C$19+I7*Assumptions!$C$20)</f>
        <v>-2400</v>
      </c>
      <c r="J26" s="25" t="n">
        <f aca="false">-(Assumptions!$C$19+J7*Assumptions!$C$20)</f>
        <v>-2400</v>
      </c>
      <c r="K26" s="25" t="n">
        <f aca="false">-(Assumptions!$C$19+K7*Assumptions!$C$20)</f>
        <v>-2400</v>
      </c>
      <c r="L26" s="25" t="n">
        <f aca="false">-(Assumptions!$C$19+L7*Assumptions!$C$20)</f>
        <v>-2400</v>
      </c>
      <c r="M26" s="25" t="n">
        <f aca="false">-(Assumptions!$C$19+M7*Assumptions!$C$20)</f>
        <v>-2400</v>
      </c>
      <c r="N26" s="25" t="n">
        <f aca="false">SUM(B26:M26)</f>
        <v>-28800</v>
      </c>
    </row>
    <row r="27" customFormat="false" ht="15" hidden="false" customHeight="false" outlineLevel="0" collapsed="false">
      <c r="A27" s="26" t="s">
        <v>102</v>
      </c>
      <c r="B27" s="27" t="n">
        <f aca="false">SUM(B20:B26)</f>
        <v>-30200</v>
      </c>
      <c r="C27" s="27" t="n">
        <f aca="false">SUM(C20:C26)</f>
        <v>-30200</v>
      </c>
      <c r="D27" s="27" t="n">
        <f aca="false">SUM(D20:D26)</f>
        <v>-30200</v>
      </c>
      <c r="E27" s="27" t="n">
        <f aca="false">SUM(E20:E26)</f>
        <v>-30200</v>
      </c>
      <c r="F27" s="27" t="n">
        <f aca="false">SUM(F20:F26)</f>
        <v>-30200</v>
      </c>
      <c r="G27" s="27" t="n">
        <f aca="false">SUM(G20:G26)</f>
        <v>-30200</v>
      </c>
      <c r="H27" s="27" t="n">
        <f aca="false">SUM(H20:H26)</f>
        <v>-30200</v>
      </c>
      <c r="I27" s="27" t="n">
        <f aca="false">SUM(I20:I26)</f>
        <v>-30200</v>
      </c>
      <c r="J27" s="27" t="n">
        <f aca="false">SUM(J20:J26)</f>
        <v>-30200</v>
      </c>
      <c r="K27" s="27" t="n">
        <f aca="false">SUM(K20:K26)</f>
        <v>-30200</v>
      </c>
      <c r="L27" s="27" t="n">
        <f aca="false">SUM(L20:L26)</f>
        <v>-30200</v>
      </c>
      <c r="M27" s="27" t="n">
        <f aca="false">SUM(M20:M26)</f>
        <v>-30200</v>
      </c>
      <c r="N27" s="28" t="n">
        <f aca="false">SUM(B27:M27)</f>
        <v>-362400</v>
      </c>
    </row>
    <row r="28" customFormat="false" ht="15" hidden="false" customHeight="false" outlineLevel="0" collapsed="false">
      <c r="A28" s="26" t="s">
        <v>103</v>
      </c>
      <c r="B28" s="27" t="n">
        <f aca="false">SUM(B17,B27)</f>
        <v>-1325</v>
      </c>
      <c r="C28" s="27" t="n">
        <f aca="false">SUM(C17,C27)</f>
        <v>2139.99999999999</v>
      </c>
      <c r="D28" s="27" t="n">
        <f aca="false">SUM(D17,D27)</f>
        <v>4450</v>
      </c>
      <c r="E28" s="27" t="n">
        <f aca="false">SUM(E17,E27)</f>
        <v>6760.00000000001</v>
      </c>
      <c r="F28" s="27" t="n">
        <f aca="false">SUM(F17,F27)</f>
        <v>9070</v>
      </c>
      <c r="G28" s="27" t="n">
        <f aca="false">SUM(G17,G27)</f>
        <v>11380</v>
      </c>
      <c r="H28" s="27" t="n">
        <f aca="false">SUM(H17,H27)</f>
        <v>13690</v>
      </c>
      <c r="I28" s="27" t="n">
        <f aca="false">SUM(I17,I27)</f>
        <v>16000</v>
      </c>
      <c r="J28" s="27" t="n">
        <f aca="false">SUM(J17,J27)</f>
        <v>16000</v>
      </c>
      <c r="K28" s="27" t="n">
        <f aca="false">SUM(K17,K27)</f>
        <v>16000</v>
      </c>
      <c r="L28" s="27" t="n">
        <f aca="false">SUM(L17,L27)</f>
        <v>16000</v>
      </c>
      <c r="M28" s="27" t="n">
        <f aca="false">SUM(M17,M27)</f>
        <v>16000</v>
      </c>
      <c r="N28" s="28" t="n">
        <f aca="false">SUM(B28:M28)</f>
        <v>126165</v>
      </c>
    </row>
    <row r="29" customFormat="false" ht="15" hidden="false" customHeight="false" outlineLevel="0" collapsed="false">
      <c r="A29" s="0" t="s">
        <v>104</v>
      </c>
      <c r="B29" s="29" t="n">
        <f aca="false">IFERROR(B28/B15,0)</f>
        <v>-0.0321212121212121</v>
      </c>
      <c r="C29" s="29" t="n">
        <f aca="false">IFERROR(C28/C15,0)</f>
        <v>0.0463203463203462</v>
      </c>
      <c r="D29" s="29" t="n">
        <f aca="false">IFERROR(D28/D15,0)</f>
        <v>0.0898989898989899</v>
      </c>
      <c r="E29" s="29" t="n">
        <f aca="false">IFERROR(E28/E15,0)</f>
        <v>0.128030303030303</v>
      </c>
      <c r="F29" s="29" t="n">
        <f aca="false">IFERROR(F28/F15,0)</f>
        <v>0.161675579322638</v>
      </c>
      <c r="G29" s="29" t="n">
        <f aca="false">IFERROR(G28/G15,0)</f>
        <v>0.191582491582492</v>
      </c>
      <c r="H29" s="29" t="n">
        <f aca="false">IFERROR(H28/H15,0)</f>
        <v>0.218341307814992</v>
      </c>
      <c r="I29" s="29" t="n">
        <f aca="false">IFERROR(I28/I15,0)</f>
        <v>0.242424242424242</v>
      </c>
      <c r="J29" s="29" t="n">
        <f aca="false">IFERROR(J28/J15,0)</f>
        <v>0.242424242424242</v>
      </c>
      <c r="K29" s="29" t="n">
        <f aca="false">IFERROR(K28/K15,0)</f>
        <v>0.242424242424242</v>
      </c>
      <c r="L29" s="29" t="n">
        <f aca="false">IFERROR(L28/L15,0)</f>
        <v>0.242424242424242</v>
      </c>
      <c r="M29" s="29" t="n">
        <f aca="false">IFERROR(M28/M15,0)</f>
        <v>0.242424242424242</v>
      </c>
      <c r="N29" s="29" t="n">
        <f aca="false">IFERROR(N28/N15,0)</f>
        <v>0.180765097786374</v>
      </c>
    </row>
    <row r="31" customFormat="false" ht="15" hidden="false" customHeight="false" outlineLevel="0" collapsed="false">
      <c r="A31" s="30" t="s">
        <v>105</v>
      </c>
      <c r="B31" s="27" t="n">
        <f aca="false">-MAX(0,B28*Assumptions!$C$23)</f>
        <v>-0</v>
      </c>
      <c r="C31" s="27" t="n">
        <f aca="false">-MAX(0,C28*Assumptions!$C$23)</f>
        <v>-534.999999999998</v>
      </c>
      <c r="D31" s="27" t="n">
        <f aca="false">-MAX(0,D28*Assumptions!$C$23)</f>
        <v>-1112.5</v>
      </c>
      <c r="E31" s="27" t="n">
        <f aca="false">-MAX(0,E28*Assumptions!$C$23)</f>
        <v>-1690</v>
      </c>
      <c r="F31" s="27" t="n">
        <f aca="false">-MAX(0,F28*Assumptions!$C$23)</f>
        <v>-2267.5</v>
      </c>
      <c r="G31" s="27" t="n">
        <f aca="false">-MAX(0,G28*Assumptions!$C$23)</f>
        <v>-2845</v>
      </c>
      <c r="H31" s="27" t="n">
        <f aca="false">-MAX(0,H28*Assumptions!$C$23)</f>
        <v>-3422.5</v>
      </c>
      <c r="I31" s="27" t="n">
        <f aca="false">-MAX(0,I28*Assumptions!$C$23)</f>
        <v>-4000</v>
      </c>
      <c r="J31" s="27" t="n">
        <f aca="false">-MAX(0,J28*Assumptions!$C$23)</f>
        <v>-4000</v>
      </c>
      <c r="K31" s="27" t="n">
        <f aca="false">-MAX(0,K28*Assumptions!$C$23)</f>
        <v>-4000</v>
      </c>
      <c r="L31" s="27" t="n">
        <f aca="false">-MAX(0,L28*Assumptions!$C$23)</f>
        <v>-4000</v>
      </c>
      <c r="M31" s="27" t="n">
        <f aca="false">-MAX(0,M28*Assumptions!$C$23)</f>
        <v>-4000</v>
      </c>
      <c r="N31" s="28" t="n">
        <f aca="false">SUM(B31:M31)</f>
        <v>-31872.5</v>
      </c>
    </row>
    <row r="32" customFormat="false" ht="15" hidden="false" customHeight="false" outlineLevel="0" collapsed="false">
      <c r="A32" s="26" t="s">
        <v>106</v>
      </c>
      <c r="B32" s="27" t="n">
        <f aca="false">SUM(B28,B31)</f>
        <v>-1325</v>
      </c>
      <c r="C32" s="27" t="n">
        <f aca="false">SUM(C28,C31)</f>
        <v>1604.99999999999</v>
      </c>
      <c r="D32" s="27" t="n">
        <f aca="false">SUM(D28,D31)</f>
        <v>3337.5</v>
      </c>
      <c r="E32" s="27" t="n">
        <f aca="false">SUM(E28,E31)</f>
        <v>5070.00000000001</v>
      </c>
      <c r="F32" s="27" t="n">
        <f aca="false">SUM(F28,F31)</f>
        <v>6802.5</v>
      </c>
      <c r="G32" s="27" t="n">
        <f aca="false">SUM(G28,G31)</f>
        <v>8535</v>
      </c>
      <c r="H32" s="27" t="n">
        <f aca="false">SUM(H28,H31)</f>
        <v>10267.5</v>
      </c>
      <c r="I32" s="27" t="n">
        <f aca="false">SUM(I28,I31)</f>
        <v>12000</v>
      </c>
      <c r="J32" s="27" t="n">
        <f aca="false">SUM(J28,J31)</f>
        <v>12000</v>
      </c>
      <c r="K32" s="27" t="n">
        <f aca="false">SUM(K28,K31)</f>
        <v>12000</v>
      </c>
      <c r="L32" s="27" t="n">
        <f aca="false">SUM(L28,L31)</f>
        <v>12000</v>
      </c>
      <c r="M32" s="27" t="n">
        <f aca="false">SUM(M28,M31)</f>
        <v>12000</v>
      </c>
      <c r="N32" s="28" t="n">
        <f aca="false">SUM(B32:M32)</f>
        <v>94292.5</v>
      </c>
    </row>
  </sheetData>
  <mergeCells count="4">
    <mergeCell ref="A1:H2"/>
    <mergeCell ref="A3:H3"/>
    <mergeCell ref="A5:N5"/>
    <mergeCell ref="A14:N14"/>
  </mergeCells>
  <printOptions headings="false" gridLines="false" gridLinesSet="true" horizontalCentered="false" verticalCentered="false"/>
  <pageMargins left="0.25" right="0.25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9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4"/>
    <col collapsed="false" customWidth="true" hidden="false" outlineLevel="0" max="7" min="2" style="0" width="17"/>
  </cols>
  <sheetData>
    <row r="1" customFormat="false" ht="15" hidden="false" customHeight="false" outlineLevel="0" collapsed="false">
      <c r="A1" s="11" t="s">
        <v>107</v>
      </c>
      <c r="B1" s="11"/>
      <c r="C1" s="11"/>
      <c r="D1" s="11"/>
      <c r="E1" s="11"/>
      <c r="F1" s="11"/>
      <c r="G1" s="11"/>
      <c r="H1" s="11"/>
    </row>
    <row r="2" customFormat="false" ht="15" hidden="false" customHeight="false" outlineLevel="0" collapsed="false">
      <c r="A2" s="11"/>
      <c r="B2" s="11"/>
      <c r="C2" s="11"/>
      <c r="D2" s="11"/>
      <c r="E2" s="11"/>
      <c r="F2" s="11"/>
      <c r="G2" s="11"/>
      <c r="H2" s="11"/>
    </row>
    <row r="3" customFormat="false" ht="15" hidden="false" customHeight="false" outlineLevel="0" collapsed="false">
      <c r="A3" s="12" t="s">
        <v>108</v>
      </c>
      <c r="B3" s="12"/>
      <c r="C3" s="12"/>
      <c r="D3" s="12"/>
      <c r="E3" s="12"/>
      <c r="F3" s="12"/>
      <c r="G3" s="12"/>
      <c r="H3" s="12"/>
    </row>
    <row r="5" customFormat="false" ht="19.5" hidden="false" customHeight="true" outlineLevel="0" collapsed="false">
      <c r="A5" s="13" t="s">
        <v>74</v>
      </c>
      <c r="B5" s="13"/>
      <c r="C5" s="13"/>
      <c r="D5" s="13"/>
      <c r="E5" s="13"/>
      <c r="F5" s="13"/>
      <c r="G5" s="13"/>
    </row>
    <row r="6" customFormat="false" ht="15" hidden="false" customHeight="false" outlineLevel="0" collapsed="false">
      <c r="B6" s="31" t="s">
        <v>109</v>
      </c>
      <c r="C6" s="19" t="s">
        <v>64</v>
      </c>
      <c r="D6" s="19" t="s">
        <v>65</v>
      </c>
      <c r="E6" s="19" t="s">
        <v>66</v>
      </c>
      <c r="F6" s="19" t="s">
        <v>67</v>
      </c>
      <c r="G6" s="19" t="s">
        <v>68</v>
      </c>
    </row>
    <row r="7" customFormat="false" ht="15" hidden="false" customHeight="false" outlineLevel="0" collapsed="false">
      <c r="A7" s="0" t="s">
        <v>110</v>
      </c>
      <c r="B7" s="0" t="s">
        <v>111</v>
      </c>
      <c r="C7" s="20" t="n">
        <f aca="false">'Year 1 Monthly'!N7</f>
        <v>2</v>
      </c>
      <c r="D7" s="20" t="n">
        <f aca="false">Assumptions!D52</f>
        <v>4</v>
      </c>
      <c r="E7" s="20" t="n">
        <f aca="false">Assumptions!E52</f>
        <v>8</v>
      </c>
      <c r="F7" s="20" t="n">
        <f aca="false">Assumptions!F52</f>
        <v>15</v>
      </c>
      <c r="G7" s="20" t="n">
        <f aca="false">Assumptions!G52</f>
        <v>25</v>
      </c>
    </row>
    <row r="8" customFormat="false" ht="15" hidden="false" customHeight="false" outlineLevel="0" collapsed="false">
      <c r="A8" s="0" t="s">
        <v>70</v>
      </c>
      <c r="B8" s="0" t="s">
        <v>112</v>
      </c>
      <c r="C8" s="32" t="n">
        <f aca="false">'Year 1 Monthly'!N8/Assumptions!$C$8</f>
        <v>0.88125</v>
      </c>
      <c r="D8" s="32" t="n">
        <f aca="false">Assumptions!D53</f>
        <v>0.92</v>
      </c>
      <c r="E8" s="32" t="n">
        <f aca="false">Assumptions!E53</f>
        <v>0.95</v>
      </c>
      <c r="F8" s="32" t="n">
        <f aca="false">Assumptions!F53</f>
        <v>0.97</v>
      </c>
      <c r="G8" s="32" t="n">
        <f aca="false">Assumptions!G53</f>
        <v>1</v>
      </c>
    </row>
    <row r="9" customFormat="false" ht="15" hidden="false" customHeight="false" outlineLevel="0" collapsed="false">
      <c r="A9" s="0" t="s">
        <v>88</v>
      </c>
      <c r="B9" s="0" t="s">
        <v>113</v>
      </c>
      <c r="C9" s="22" t="n">
        <f aca="false">Assumptions!$C$8</f>
        <v>4</v>
      </c>
      <c r="D9" s="22" t="n">
        <f aca="false">Assumptions!$C$8</f>
        <v>4</v>
      </c>
      <c r="E9" s="22" t="n">
        <f aca="false">Assumptions!$C$8</f>
        <v>4</v>
      </c>
      <c r="F9" s="22" t="n">
        <f aca="false">Assumptions!$C$8</f>
        <v>4</v>
      </c>
      <c r="G9" s="22" t="n">
        <f aca="false">Assumptions!$C$8</f>
        <v>4</v>
      </c>
    </row>
    <row r="10" customFormat="false" ht="15" hidden="false" customHeight="false" outlineLevel="0" collapsed="false">
      <c r="A10" s="0" t="s">
        <v>16</v>
      </c>
      <c r="B10" s="0" t="s">
        <v>114</v>
      </c>
      <c r="C10" s="25" t="n">
        <f aca="false">'Year 1 Monthly'!N10</f>
        <v>375</v>
      </c>
      <c r="D10" s="25" t="n">
        <f aca="false">C10*(1+Assumptions!D54)</f>
        <v>386.25</v>
      </c>
      <c r="E10" s="25" t="n">
        <f aca="false">D10*(1+Assumptions!E54)</f>
        <v>397.8375</v>
      </c>
      <c r="F10" s="25" t="n">
        <f aca="false">E10*(1+Assumptions!F54)</f>
        <v>409.772625</v>
      </c>
      <c r="G10" s="25" t="n">
        <f aca="false">F10*(1+Assumptions!G54)</f>
        <v>422.06580375</v>
      </c>
    </row>
    <row r="11" customFormat="false" ht="15" hidden="false" customHeight="false" outlineLevel="0" collapsed="false">
      <c r="A11" s="0" t="s">
        <v>115</v>
      </c>
      <c r="B11" s="0" t="s">
        <v>116</v>
      </c>
      <c r="C11" s="23" t="n">
        <f aca="false">Assumptions!$C$7*12</f>
        <v>264</v>
      </c>
      <c r="D11" s="23" t="n">
        <f aca="false">Assumptions!$C$7*12</f>
        <v>264</v>
      </c>
      <c r="E11" s="23" t="n">
        <f aca="false">Assumptions!$C$7*12</f>
        <v>264</v>
      </c>
      <c r="F11" s="23" t="n">
        <f aca="false">Assumptions!$C$7*12</f>
        <v>264</v>
      </c>
      <c r="G11" s="23" t="n">
        <f aca="false">Assumptions!$C$7*12</f>
        <v>264</v>
      </c>
    </row>
    <row r="12" customFormat="false" ht="15" hidden="false" customHeight="false" outlineLevel="0" collapsed="false">
      <c r="A12" s="0" t="s">
        <v>117</v>
      </c>
      <c r="B12" s="0" t="s">
        <v>118</v>
      </c>
      <c r="C12" s="25" t="n">
        <f aca="false">C7*C9*C10*C11</f>
        <v>792000</v>
      </c>
      <c r="D12" s="25" t="n">
        <f aca="false">D7*D9*D10*D11</f>
        <v>1631520</v>
      </c>
      <c r="E12" s="25" t="n">
        <f aca="false">E7*E9*E10*E11</f>
        <v>3360931.2</v>
      </c>
      <c r="F12" s="25" t="n">
        <f aca="false">F7*F9*F10*F11</f>
        <v>6490798.38</v>
      </c>
      <c r="G12" s="25" t="n">
        <f aca="false">G7*G9*G10*G11</f>
        <v>11142537.219</v>
      </c>
    </row>
    <row r="13" customFormat="false" ht="15" hidden="false" customHeight="false" outlineLevel="0" collapsed="false">
      <c r="A13" s="0" t="s">
        <v>91</v>
      </c>
      <c r="B13" s="0" t="s">
        <v>118</v>
      </c>
      <c r="C13" s="25" t="n">
        <f aca="false">'Year 1 Monthly'!N12</f>
        <v>697950</v>
      </c>
      <c r="D13" s="25" t="n">
        <f aca="false">D12*D8</f>
        <v>1500998.4</v>
      </c>
      <c r="E13" s="25" t="n">
        <f aca="false">E12*E8</f>
        <v>3192884.64</v>
      </c>
      <c r="F13" s="25" t="n">
        <f aca="false">F12*F8</f>
        <v>6296074.4286</v>
      </c>
      <c r="G13" s="25" t="n">
        <f aca="false">G12*G8</f>
        <v>11142537.219</v>
      </c>
    </row>
    <row r="15" customFormat="false" ht="19.5" hidden="false" customHeight="true" outlineLevel="0" collapsed="false">
      <c r="A15" s="13" t="s">
        <v>92</v>
      </c>
      <c r="B15" s="13"/>
      <c r="C15" s="13"/>
      <c r="D15" s="13"/>
      <c r="E15" s="13"/>
      <c r="F15" s="13"/>
      <c r="G15" s="13"/>
    </row>
    <row r="16" customFormat="false" ht="15" hidden="false" customHeight="false" outlineLevel="0" collapsed="false">
      <c r="A16" s="0" t="s">
        <v>91</v>
      </c>
      <c r="C16" s="25" t="n">
        <f aca="false">'Year 1 Monthly'!N15</f>
        <v>697950</v>
      </c>
      <c r="D16" s="25" t="n">
        <f aca="false">D13</f>
        <v>1500998.4</v>
      </c>
      <c r="E16" s="25" t="n">
        <f aca="false">E13</f>
        <v>3192884.64</v>
      </c>
      <c r="F16" s="25" t="n">
        <f aca="false">F13</f>
        <v>6296074.4286</v>
      </c>
      <c r="G16" s="25" t="n">
        <f aca="false">G13</f>
        <v>11142537.219</v>
      </c>
    </row>
    <row r="17" customFormat="false" ht="15" hidden="false" customHeight="false" outlineLevel="0" collapsed="false">
      <c r="A17" s="0" t="s">
        <v>93</v>
      </c>
      <c r="C17" s="25" t="n">
        <f aca="false">'Year 1 Monthly'!N16</f>
        <v>-209385</v>
      </c>
      <c r="D17" s="25" t="n">
        <f aca="false">-D16*Assumptions!$C$9</f>
        <v>-450299.52</v>
      </c>
      <c r="E17" s="25" t="n">
        <f aca="false">-E16*Assumptions!$C$9</f>
        <v>-957865.392</v>
      </c>
      <c r="F17" s="25" t="n">
        <f aca="false">-F16*Assumptions!$C$9</f>
        <v>-1888822.32858</v>
      </c>
      <c r="G17" s="25" t="n">
        <f aca="false">-G16*Assumptions!$C$9</f>
        <v>-3342761.1657</v>
      </c>
    </row>
    <row r="18" customFormat="false" ht="15" hidden="false" customHeight="false" outlineLevel="0" collapsed="false">
      <c r="A18" s="26" t="s">
        <v>94</v>
      </c>
      <c r="B18" s="30"/>
      <c r="C18" s="27" t="n">
        <f aca="false">'Year 1 Monthly'!N17</f>
        <v>488565</v>
      </c>
      <c r="D18" s="27" t="n">
        <f aca="false">SUM(D16:D17)</f>
        <v>1050698.88</v>
      </c>
      <c r="E18" s="27" t="n">
        <f aca="false">SUM(E16:E17)</f>
        <v>2235019.248</v>
      </c>
      <c r="F18" s="27" t="n">
        <f aca="false">SUM(F16:F17)</f>
        <v>4407252.10002</v>
      </c>
      <c r="G18" s="27" t="n">
        <f aca="false">SUM(G16:G17)</f>
        <v>7799776.0533</v>
      </c>
    </row>
    <row r="19" customFormat="false" ht="15" hidden="false" customHeight="false" outlineLevel="0" collapsed="false">
      <c r="A19" s="0" t="s">
        <v>95</v>
      </c>
      <c r="C19" s="29" t="n">
        <f aca="false">'Year 1 Monthly'!N18</f>
        <v>0.7</v>
      </c>
      <c r="D19" s="29" t="n">
        <f aca="false">IFERROR(D18/D16,0)</f>
        <v>0.7</v>
      </c>
      <c r="E19" s="29" t="n">
        <f aca="false">IFERROR(E18/E16,0)</f>
        <v>0.7</v>
      </c>
      <c r="F19" s="29" t="n">
        <f aca="false">IFERROR(F18/F16,0)</f>
        <v>0.7</v>
      </c>
      <c r="G19" s="29" t="n">
        <f aca="false">IFERROR(G18/G16,0)</f>
        <v>0.7</v>
      </c>
    </row>
    <row r="21" customFormat="false" ht="15" hidden="false" customHeight="false" outlineLevel="0" collapsed="false">
      <c r="A21" s="0" t="s">
        <v>96</v>
      </c>
      <c r="C21" s="25" t="n">
        <f aca="false">'Year 1 Monthly'!N20</f>
        <v>-180000</v>
      </c>
      <c r="D21" s="25" t="n">
        <f aca="false">-D7*Assumptions!$C$10*12</f>
        <v>-360000</v>
      </c>
      <c r="E21" s="25" t="n">
        <f aca="false">-E7*Assumptions!$C$10*12</f>
        <v>-720000</v>
      </c>
      <c r="F21" s="25" t="n">
        <f aca="false">-F7*Assumptions!$C$10*12</f>
        <v>-1350000</v>
      </c>
      <c r="G21" s="25" t="n">
        <f aca="false">-G7*Assumptions!$C$10*12</f>
        <v>-2250000</v>
      </c>
    </row>
    <row r="22" customFormat="false" ht="15" hidden="false" customHeight="false" outlineLevel="0" collapsed="false">
      <c r="A22" s="0" t="s">
        <v>119</v>
      </c>
      <c r="C22" s="25" t="n">
        <f aca="false">-SUMPRODUCT(Assumptions!$C$44:$C$47,Assumptions!D$44:D$47)*12</f>
        <v>-0</v>
      </c>
      <c r="D22" s="25" t="n">
        <f aca="false">-SUMPRODUCT(Assumptions!$C$44:$C$47,Assumptions!E$44:E$47)*12</f>
        <v>-54000</v>
      </c>
      <c r="E22" s="25" t="n">
        <f aca="false">-SUMPRODUCT(Assumptions!$C$44:$C$47,Assumptions!F$44:F$47)*12</f>
        <v>-276000</v>
      </c>
      <c r="F22" s="25" t="n">
        <f aca="false">-SUMPRODUCT(Assumptions!$C$44:$C$47,Assumptions!G$44:G$47)*12</f>
        <v>-408000</v>
      </c>
      <c r="G22" s="25" t="n">
        <f aca="false">-SUMPRODUCT(Assumptions!$C$44:$C$47,Assumptions!H$44:H$47)*12</f>
        <v>-684000</v>
      </c>
    </row>
    <row r="23" customFormat="false" ht="15" hidden="false" customHeight="false" outlineLevel="0" collapsed="false">
      <c r="A23" s="0" t="s">
        <v>21</v>
      </c>
      <c r="C23" s="25" t="n">
        <f aca="false">'Year 1 Monthly'!N21</f>
        <v>-18000</v>
      </c>
      <c r="D23" s="25" t="n">
        <f aca="false">SUM(D21:D22)*Assumptions!$C$11</f>
        <v>-41400</v>
      </c>
      <c r="E23" s="25" t="n">
        <f aca="false">SUM(E21:E22)*Assumptions!$C$11</f>
        <v>-99600</v>
      </c>
      <c r="F23" s="25" t="n">
        <f aca="false">SUM(F21:F22)*Assumptions!$C$11</f>
        <v>-175800</v>
      </c>
      <c r="G23" s="25" t="n">
        <f aca="false">SUM(G21:G22)*Assumptions!$C$11</f>
        <v>-293400</v>
      </c>
    </row>
    <row r="24" customFormat="false" ht="15" hidden="false" customHeight="false" outlineLevel="0" collapsed="false">
      <c r="A24" s="0" t="s">
        <v>97</v>
      </c>
      <c r="C24" s="25" t="n">
        <f aca="false">'Year 1 Monthly'!N22</f>
        <v>-42000</v>
      </c>
      <c r="D24" s="25" t="n">
        <f aca="false">-D7*Assumptions!$C$12*12</f>
        <v>-84000</v>
      </c>
      <c r="E24" s="25" t="n">
        <f aca="false">-E7*Assumptions!$C$12*12</f>
        <v>-168000</v>
      </c>
      <c r="F24" s="25" t="n">
        <f aca="false">-F7*Assumptions!$C$12*12</f>
        <v>-315000</v>
      </c>
      <c r="G24" s="25" t="n">
        <f aca="false">-G7*Assumptions!$C$12*12</f>
        <v>-525000</v>
      </c>
    </row>
    <row r="25" customFormat="false" ht="15" hidden="false" customHeight="false" outlineLevel="0" collapsed="false">
      <c r="A25" s="0" t="s">
        <v>98</v>
      </c>
      <c r="C25" s="25" t="n">
        <f aca="false">'Year 1 Monthly'!N23</f>
        <v>-24000</v>
      </c>
      <c r="D25" s="25" t="n">
        <f aca="false">-(Assumptions!$C$13+D7*Assumptions!$C$14)*12</f>
        <v>-36000</v>
      </c>
      <c r="E25" s="25" t="n">
        <f aca="false">-(Assumptions!$C$13+E7*Assumptions!$C$14)*12</f>
        <v>-60000</v>
      </c>
      <c r="F25" s="25" t="n">
        <f aca="false">-(Assumptions!$C$13+F7*Assumptions!$C$14)*12</f>
        <v>-102000</v>
      </c>
      <c r="G25" s="25" t="n">
        <f aca="false">-(Assumptions!$C$13+G7*Assumptions!$C$14)*12</f>
        <v>-162000</v>
      </c>
    </row>
    <row r="26" customFormat="false" ht="15" hidden="false" customHeight="false" outlineLevel="0" collapsed="false">
      <c r="A26" s="0" t="s">
        <v>99</v>
      </c>
      <c r="C26" s="25" t="n">
        <f aca="false">'Year 1 Monthly'!N24</f>
        <v>-48000</v>
      </c>
      <c r="D26" s="25" t="n">
        <f aca="false">-MAX(Assumptions!$C$15*12,D16*Assumptions!$C$16)</f>
        <v>-60039.936</v>
      </c>
      <c r="E26" s="25" t="n">
        <f aca="false">-MAX(Assumptions!$C$15*12,E16*Assumptions!$C$16)</f>
        <v>-127715.3856</v>
      </c>
      <c r="F26" s="25" t="n">
        <f aca="false">-MAX(Assumptions!$C$15*12,F16*Assumptions!$C$16)</f>
        <v>-251842.977144</v>
      </c>
      <c r="G26" s="25" t="n">
        <f aca="false">-MAX(Assumptions!$C$15*12,G16*Assumptions!$C$16)</f>
        <v>-445701.48876</v>
      </c>
    </row>
    <row r="27" customFormat="false" ht="15" hidden="false" customHeight="false" outlineLevel="0" collapsed="false">
      <c r="A27" s="0" t="s">
        <v>100</v>
      </c>
      <c r="C27" s="25" t="n">
        <f aca="false">'Year 1 Monthly'!N25</f>
        <v>-21600</v>
      </c>
      <c r="D27" s="25" t="n">
        <f aca="false">-(Assumptions!$C$17+D7*Assumptions!$C$18)*12</f>
        <v>-25200</v>
      </c>
      <c r="E27" s="25" t="n">
        <f aca="false">-(Assumptions!$C$17+E7*Assumptions!$C$18)*12</f>
        <v>-32400</v>
      </c>
      <c r="F27" s="25" t="n">
        <f aca="false">-(Assumptions!$C$17+F7*Assumptions!$C$18)*12</f>
        <v>-45000</v>
      </c>
      <c r="G27" s="25" t="n">
        <f aca="false">-(Assumptions!$C$17+G7*Assumptions!$C$18)*12</f>
        <v>-63000</v>
      </c>
    </row>
    <row r="28" customFormat="false" ht="15" hidden="false" customHeight="false" outlineLevel="0" collapsed="false">
      <c r="A28" s="0" t="s">
        <v>101</v>
      </c>
      <c r="C28" s="25" t="n">
        <f aca="false">'Year 1 Monthly'!N26</f>
        <v>-28800</v>
      </c>
      <c r="D28" s="25" t="n">
        <f aca="false">-(Assumptions!$C$19+D7*Assumptions!$C$20)*12</f>
        <v>-33600</v>
      </c>
      <c r="E28" s="25" t="n">
        <f aca="false">-(Assumptions!$C$19+E7*Assumptions!$C$20)*12</f>
        <v>-43200</v>
      </c>
      <c r="F28" s="25" t="n">
        <f aca="false">-(Assumptions!$C$19+F7*Assumptions!$C$20)*12</f>
        <v>-60000</v>
      </c>
      <c r="G28" s="25" t="n">
        <f aca="false">-(Assumptions!$C$19+G7*Assumptions!$C$20)*12</f>
        <v>-84000</v>
      </c>
    </row>
    <row r="29" customFormat="false" ht="15" hidden="false" customHeight="false" outlineLevel="0" collapsed="false">
      <c r="A29" s="26" t="s">
        <v>102</v>
      </c>
      <c r="B29" s="30"/>
      <c r="C29" s="27" t="n">
        <f aca="false">'Year 1 Monthly'!N27</f>
        <v>-362400</v>
      </c>
      <c r="D29" s="27" t="n">
        <f aca="false">SUM(D21:D28)</f>
        <v>-694239.936</v>
      </c>
      <c r="E29" s="27" t="n">
        <f aca="false">SUM(E21:E28)</f>
        <v>-1526915.3856</v>
      </c>
      <c r="F29" s="27" t="n">
        <f aca="false">SUM(F21:F28)</f>
        <v>-2707642.977144</v>
      </c>
      <c r="G29" s="27" t="n">
        <f aca="false">SUM(G21:G28)</f>
        <v>-4507101.48876</v>
      </c>
    </row>
    <row r="30" customFormat="false" ht="15" hidden="false" customHeight="false" outlineLevel="0" collapsed="false">
      <c r="A30" s="26" t="s">
        <v>103</v>
      </c>
      <c r="B30" s="30"/>
      <c r="C30" s="27" t="n">
        <f aca="false">'Year 1 Monthly'!N28</f>
        <v>126165</v>
      </c>
      <c r="D30" s="27" t="n">
        <f aca="false">SUM(D18,D29)</f>
        <v>356458.944</v>
      </c>
      <c r="E30" s="27" t="n">
        <f aca="false">SUM(E18,E29)</f>
        <v>708103.8624</v>
      </c>
      <c r="F30" s="27" t="n">
        <f aca="false">SUM(F18,F29)</f>
        <v>1699609.122876</v>
      </c>
      <c r="G30" s="27" t="n">
        <f aca="false">SUM(G18,G29)</f>
        <v>3292674.56454</v>
      </c>
    </row>
    <row r="31" customFormat="false" ht="15" hidden="false" customHeight="false" outlineLevel="0" collapsed="false">
      <c r="A31" s="0" t="s">
        <v>104</v>
      </c>
      <c r="C31" s="29" t="n">
        <f aca="false">'Year 1 Monthly'!N29</f>
        <v>0.180765097786374</v>
      </c>
      <c r="D31" s="29" t="n">
        <f aca="false">IFERROR(D30/D16,0)</f>
        <v>0.237481228494314</v>
      </c>
      <c r="E31" s="29" t="n">
        <f aca="false">IFERROR(E30/E16,0)</f>
        <v>0.221775586104483</v>
      </c>
      <c r="F31" s="29" t="n">
        <f aca="false">IFERROR(F30/F16,0)</f>
        <v>0.269947431872073</v>
      </c>
      <c r="G31" s="29" t="n">
        <f aca="false">IFERROR(G30/G16,0)</f>
        <v>0.295504919555073</v>
      </c>
    </row>
    <row r="32" customFormat="false" ht="15" hidden="false" customHeight="false" outlineLevel="0" collapsed="false">
      <c r="A32" s="0" t="s">
        <v>105</v>
      </c>
      <c r="C32" s="27" t="n">
        <f aca="false">-MAX(0,C30*Assumptions!$C$23)</f>
        <v>-31541.25</v>
      </c>
      <c r="D32" s="27" t="n">
        <f aca="false">-MAX(0,D30*Assumptions!$C$23)</f>
        <v>-89114.736</v>
      </c>
      <c r="E32" s="27" t="n">
        <f aca="false">-MAX(0,E30*Assumptions!$C$23)</f>
        <v>-177025.9656</v>
      </c>
      <c r="F32" s="27" t="n">
        <f aca="false">-MAX(0,F30*Assumptions!$C$23)</f>
        <v>-424902.280719</v>
      </c>
      <c r="G32" s="27" t="n">
        <f aca="false">-MAX(0,G30*Assumptions!$C$23)</f>
        <v>-823168.641135</v>
      </c>
    </row>
    <row r="33" customFormat="false" ht="15" hidden="false" customHeight="false" outlineLevel="0" collapsed="false">
      <c r="A33" s="26" t="s">
        <v>106</v>
      </c>
      <c r="C33" s="27" t="n">
        <f aca="false">SUM(C30,C32)</f>
        <v>94623.75</v>
      </c>
      <c r="D33" s="27" t="n">
        <f aca="false">SUM(D30,D32)</f>
        <v>267344.208</v>
      </c>
      <c r="E33" s="27" t="n">
        <f aca="false">SUM(E30,E32)</f>
        <v>531077.8968</v>
      </c>
      <c r="F33" s="27" t="n">
        <f aca="false">SUM(F30,F32)</f>
        <v>1274706.842157</v>
      </c>
      <c r="G33" s="27" t="n">
        <f aca="false">SUM(G30,G32)</f>
        <v>2469505.923405</v>
      </c>
    </row>
    <row r="34" customFormat="false" ht="19.5" hidden="false" customHeight="true" outlineLevel="0" collapsed="false">
      <c r="A34" s="13" t="s">
        <v>120</v>
      </c>
      <c r="B34" s="13"/>
      <c r="C34" s="13"/>
      <c r="D34" s="13"/>
      <c r="E34" s="13"/>
      <c r="F34" s="13"/>
      <c r="G34" s="13"/>
    </row>
    <row r="35" customFormat="false" ht="15" hidden="false" customHeight="false" outlineLevel="0" collapsed="false">
      <c r="A35" s="0" t="s">
        <v>121</v>
      </c>
      <c r="C35" s="23" t="n">
        <f aca="false">C7</f>
        <v>2</v>
      </c>
      <c r="D35" s="23" t="n">
        <f aca="false">MAX(0,D7-C7)</f>
        <v>2</v>
      </c>
      <c r="E35" s="23" t="n">
        <f aca="false">MAX(0,E7-D7)</f>
        <v>4</v>
      </c>
      <c r="F35" s="23" t="n">
        <f aca="false">MAX(0,F7-E7)</f>
        <v>7</v>
      </c>
      <c r="G35" s="23" t="n">
        <f aca="false">MAX(0,G7-F7)</f>
        <v>10</v>
      </c>
    </row>
    <row r="36" customFormat="false" ht="15" hidden="false" customHeight="false" outlineLevel="0" collapsed="false">
      <c r="A36" s="0" t="s">
        <v>122</v>
      </c>
      <c r="C36" s="25" t="n">
        <f aca="false">-C35*Assumptions!$C$21</f>
        <v>-70000</v>
      </c>
      <c r="D36" s="25" t="n">
        <f aca="false">-D35*Assumptions!$C$21</f>
        <v>-70000</v>
      </c>
      <c r="E36" s="25" t="n">
        <f aca="false">-E35*Assumptions!$C$21</f>
        <v>-140000</v>
      </c>
      <c r="F36" s="25" t="n">
        <f aca="false">-F35*Assumptions!$C$21</f>
        <v>-245000</v>
      </c>
      <c r="G36" s="25" t="n">
        <f aca="false">-G35*Assumptions!$C$21</f>
        <v>-350000</v>
      </c>
    </row>
    <row r="37" customFormat="false" ht="15" hidden="false" customHeight="false" outlineLevel="0" collapsed="false">
      <c r="A37" s="0" t="s">
        <v>123</v>
      </c>
      <c r="C37" s="25" t="n">
        <f aca="false">-C16*Assumptions!$C$22</f>
        <v>-6979.5</v>
      </c>
      <c r="D37" s="25" t="n">
        <f aca="false">-D16*Assumptions!$C$22</f>
        <v>-15009.984</v>
      </c>
      <c r="E37" s="25" t="n">
        <f aca="false">-E16*Assumptions!$C$22</f>
        <v>-31928.8464</v>
      </c>
      <c r="F37" s="25" t="n">
        <f aca="false">-F16*Assumptions!$C$22</f>
        <v>-62960.744286</v>
      </c>
      <c r="G37" s="25" t="n">
        <f aca="false">-G16*Assumptions!$C$22</f>
        <v>-111425.37219</v>
      </c>
    </row>
    <row r="38" customFormat="false" ht="15" hidden="false" customHeight="false" outlineLevel="0" collapsed="false">
      <c r="A38" s="26" t="s">
        <v>124</v>
      </c>
      <c r="B38" s="30"/>
      <c r="C38" s="27" t="n">
        <f aca="false">SUM(C30,C36:C37)</f>
        <v>49185.5</v>
      </c>
      <c r="D38" s="27" t="n">
        <f aca="false">SUM(D30,D36:D37)</f>
        <v>271448.96</v>
      </c>
      <c r="E38" s="27" t="n">
        <f aca="false">SUM(E30,E36:E37)</f>
        <v>536175.016</v>
      </c>
      <c r="F38" s="27" t="n">
        <f aca="false">SUM(F30,F36:F37)</f>
        <v>1391648.37859</v>
      </c>
      <c r="G38" s="27" t="n">
        <f aca="false">SUM(G30,G36:G37)</f>
        <v>2831249.19235</v>
      </c>
    </row>
    <row r="39" customFormat="false" ht="15" hidden="false" customHeight="false" outlineLevel="0" collapsed="false">
      <c r="A39" s="26" t="s">
        <v>125</v>
      </c>
      <c r="B39" s="30"/>
      <c r="C39" s="27" t="n">
        <f aca="false">C38</f>
        <v>49185.5</v>
      </c>
      <c r="D39" s="27" t="n">
        <f aca="false">C39+D38</f>
        <v>320634.46</v>
      </c>
      <c r="E39" s="27" t="n">
        <f aca="false">D39+E38</f>
        <v>856809.476</v>
      </c>
      <c r="F39" s="27" t="n">
        <f aca="false">E39+F38</f>
        <v>2248457.85459</v>
      </c>
      <c r="G39" s="27" t="n">
        <f aca="false">F39+G38</f>
        <v>5079707.04694</v>
      </c>
    </row>
  </sheetData>
  <mergeCells count="5">
    <mergeCell ref="A1:H2"/>
    <mergeCell ref="A3:H3"/>
    <mergeCell ref="A5:G5"/>
    <mergeCell ref="A15:G15"/>
    <mergeCell ref="A34:G34"/>
  </mergeCells>
  <printOptions headings="false" gridLines="false" gridLinesSet="true" horizontalCentered="false" verticalCentered="false"/>
  <pageMargins left="0.25" right="0.25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5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20"/>
    <col collapsed="false" customWidth="true" hidden="false" outlineLevel="0" max="3" min="3" style="0" width="52"/>
  </cols>
  <sheetData>
    <row r="1" customFormat="false" ht="15" hidden="false" customHeight="false" outlineLevel="0" collapsed="false">
      <c r="A1" s="11" t="s">
        <v>126</v>
      </c>
      <c r="B1" s="11"/>
      <c r="C1" s="11"/>
      <c r="D1" s="11"/>
      <c r="E1" s="11"/>
      <c r="F1" s="11"/>
      <c r="G1" s="11"/>
      <c r="H1" s="11"/>
    </row>
    <row r="2" customFormat="false" ht="15" hidden="false" customHeight="false" outlineLevel="0" collapsed="false">
      <c r="A2" s="11"/>
      <c r="B2" s="11"/>
      <c r="C2" s="11"/>
      <c r="D2" s="11"/>
      <c r="E2" s="11"/>
      <c r="F2" s="11"/>
      <c r="G2" s="11"/>
      <c r="H2" s="11"/>
    </row>
    <row r="3" customFormat="false" ht="15" hidden="false" customHeight="false" outlineLevel="0" collapsed="false">
      <c r="A3" s="12" t="s">
        <v>127</v>
      </c>
      <c r="B3" s="12"/>
      <c r="C3" s="12"/>
      <c r="D3" s="12"/>
      <c r="E3" s="12"/>
      <c r="F3" s="12"/>
      <c r="G3" s="12"/>
      <c r="H3" s="12"/>
    </row>
    <row r="5" customFormat="false" ht="19.5" hidden="false" customHeight="true" outlineLevel="0" collapsed="false">
      <c r="A5" s="13" t="s">
        <v>128</v>
      </c>
      <c r="B5" s="13"/>
      <c r="C5" s="13"/>
    </row>
    <row r="6" customFormat="false" ht="15" hidden="false" customHeight="false" outlineLevel="0" collapsed="false">
      <c r="A6" s="0" t="s">
        <v>129</v>
      </c>
      <c r="B6" s="21" t="n">
        <f aca="false">Assumptions!$C$8</f>
        <v>4</v>
      </c>
      <c r="C6" s="0" t="s">
        <v>130</v>
      </c>
    </row>
    <row r="7" customFormat="false" ht="15" hidden="false" customHeight="false" outlineLevel="0" collapsed="false">
      <c r="A7" s="0" t="s">
        <v>16</v>
      </c>
      <c r="B7" s="25" t="n">
        <f aca="false">Assumptions!$C$6</f>
        <v>375</v>
      </c>
      <c r="C7" s="0" t="s">
        <v>131</v>
      </c>
    </row>
    <row r="8" customFormat="false" ht="15" hidden="false" customHeight="false" outlineLevel="0" collapsed="false">
      <c r="A8" s="0" t="s">
        <v>132</v>
      </c>
      <c r="B8" s="25" t="n">
        <f aca="false">B6*B7</f>
        <v>1500</v>
      </c>
      <c r="C8" s="0" t="s">
        <v>133</v>
      </c>
    </row>
    <row r="9" customFormat="false" ht="15" hidden="false" customHeight="false" outlineLevel="0" collapsed="false">
      <c r="A9" s="0" t="s">
        <v>134</v>
      </c>
      <c r="B9" s="25" t="n">
        <f aca="false">B8*Assumptions!$C$7</f>
        <v>33000</v>
      </c>
      <c r="C9" s="0" t="s">
        <v>135</v>
      </c>
    </row>
    <row r="10" customFormat="false" ht="15" hidden="false" customHeight="false" outlineLevel="0" collapsed="false">
      <c r="A10" s="0" t="s">
        <v>136</v>
      </c>
      <c r="B10" s="25" t="n">
        <f aca="false">-B9*Assumptions!$C$9</f>
        <v>-9900</v>
      </c>
      <c r="C10" s="0" t="s">
        <v>137</v>
      </c>
    </row>
    <row r="11" customFormat="false" ht="15" hidden="false" customHeight="false" outlineLevel="0" collapsed="false">
      <c r="A11" s="26" t="s">
        <v>138</v>
      </c>
      <c r="B11" s="27" t="n">
        <f aca="false">SUM(B9:B10)</f>
        <v>23100</v>
      </c>
      <c r="C11" s="0" t="s">
        <v>139</v>
      </c>
    </row>
    <row r="12" customFormat="false" ht="15" hidden="false" customHeight="false" outlineLevel="0" collapsed="false">
      <c r="A12" s="0" t="s">
        <v>140</v>
      </c>
      <c r="B12" s="25" t="n">
        <f aca="false">-Assumptions!$C$10</f>
        <v>-7500</v>
      </c>
      <c r="C12" s="0" t="s">
        <v>141</v>
      </c>
    </row>
    <row r="13" customFormat="false" ht="15" hidden="false" customHeight="false" outlineLevel="0" collapsed="false">
      <c r="A13" s="0" t="s">
        <v>142</v>
      </c>
      <c r="B13" s="25" t="n">
        <f aca="false">B12*Assumptions!$C$11</f>
        <v>-750</v>
      </c>
      <c r="C13" s="0" t="s">
        <v>143</v>
      </c>
    </row>
    <row r="14" customFormat="false" ht="15" hidden="false" customHeight="false" outlineLevel="0" collapsed="false">
      <c r="A14" s="0" t="s">
        <v>144</v>
      </c>
      <c r="B14" s="25" t="n">
        <f aca="false">-Assumptions!$C$12</f>
        <v>-1750</v>
      </c>
      <c r="C14" s="0" t="s">
        <v>145</v>
      </c>
    </row>
    <row r="15" customFormat="false" ht="15" hidden="false" customHeight="false" outlineLevel="0" collapsed="false">
      <c r="A15" s="26" t="s">
        <v>146</v>
      </c>
      <c r="B15" s="27" t="n">
        <f aca="false">SUM(B11:B14)</f>
        <v>13100</v>
      </c>
      <c r="C15" s="0" t="s">
        <v>147</v>
      </c>
    </row>
    <row r="16" customFormat="false" ht="15" hidden="false" customHeight="false" outlineLevel="0" collapsed="false">
      <c r="A16" s="0" t="s">
        <v>148</v>
      </c>
      <c r="B16" s="29" t="n">
        <f aca="false">IFERROR(B15/B9,0)</f>
        <v>0.396969696969697</v>
      </c>
      <c r="C16" s="0" t="s">
        <v>149</v>
      </c>
    </row>
    <row r="19" customFormat="false" ht="19.5" hidden="false" customHeight="true" outlineLevel="0" collapsed="false">
      <c r="A19" s="13" t="s">
        <v>150</v>
      </c>
      <c r="B19" s="13"/>
      <c r="C19" s="13"/>
    </row>
    <row r="20" customFormat="false" ht="15" hidden="false" customHeight="false" outlineLevel="0" collapsed="false">
      <c r="A20" s="0" t="s">
        <v>151</v>
      </c>
      <c r="B20" s="25" t="n">
        <f aca="false">(Assumptions!$C$13+Assumptions!$C$15+Assumptions!$C$17+Assumptions!$C$19)/2</f>
        <v>4250</v>
      </c>
    </row>
    <row r="21" customFormat="false" ht="15" hidden="false" customHeight="false" outlineLevel="0" collapsed="false">
      <c r="A21" s="0" t="s">
        <v>152</v>
      </c>
      <c r="B21" s="25" t="n">
        <f aca="false">Assumptions!$C$6*(1-Assumptions!$C$9)</f>
        <v>262.5</v>
      </c>
    </row>
    <row r="22" customFormat="false" ht="15" hidden="false" customHeight="false" outlineLevel="0" collapsed="false">
      <c r="A22" s="0" t="s">
        <v>153</v>
      </c>
      <c r="B22" s="25" t="n">
        <f aca="false">Assumptions!$C$10*(1+Assumptions!$C$11)+Assumptions!$C$12</f>
        <v>10000</v>
      </c>
    </row>
    <row r="23" customFormat="false" ht="15" hidden="false" customHeight="false" outlineLevel="0" collapsed="false">
      <c r="A23" s="0" t="s">
        <v>154</v>
      </c>
      <c r="B23" s="25" t="n">
        <f aca="false">SUM(B20,B22)</f>
        <v>14250</v>
      </c>
    </row>
    <row r="24" customFormat="false" ht="15" hidden="false" customHeight="false" outlineLevel="0" collapsed="false">
      <c r="A24" s="0" t="s">
        <v>155</v>
      </c>
      <c r="B24" s="21" t="n">
        <f aca="false">B23/B21</f>
        <v>54.2857142857143</v>
      </c>
    </row>
    <row r="25" customFormat="false" ht="15" hidden="false" customHeight="false" outlineLevel="0" collapsed="false">
      <c r="A25" s="26" t="s">
        <v>156</v>
      </c>
      <c r="B25" s="33" t="n">
        <f aca="false">B24/Assumptions!$C$7</f>
        <v>2.46753246753247</v>
      </c>
    </row>
  </sheetData>
  <mergeCells count="4">
    <mergeCell ref="A1:H2"/>
    <mergeCell ref="A3:H3"/>
    <mergeCell ref="A5:C5"/>
    <mergeCell ref="A19:C19"/>
  </mergeCells>
  <printOptions headings="false" gridLines="false" gridLinesSet="true" horizontalCentered="false" verticalCentered="false"/>
  <pageMargins left="0.25" right="0.25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0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2"/>
    <col collapsed="false" customWidth="true" hidden="false" outlineLevel="0" max="7" min="2" style="0" width="16"/>
  </cols>
  <sheetData>
    <row r="1" customFormat="false" ht="15" hidden="false" customHeight="false" outlineLevel="0" collapsed="false">
      <c r="A1" s="11" t="s">
        <v>157</v>
      </c>
      <c r="B1" s="11"/>
      <c r="C1" s="11"/>
      <c r="D1" s="11"/>
      <c r="E1" s="11"/>
      <c r="F1" s="11"/>
      <c r="G1" s="11"/>
      <c r="H1" s="11"/>
    </row>
    <row r="2" customFormat="false" ht="15" hidden="false" customHeight="false" outlineLevel="0" collapsed="false">
      <c r="A2" s="11"/>
      <c r="B2" s="11"/>
      <c r="C2" s="11"/>
      <c r="D2" s="11"/>
      <c r="E2" s="11"/>
      <c r="F2" s="11"/>
      <c r="G2" s="11"/>
      <c r="H2" s="11"/>
    </row>
    <row r="3" customFormat="false" ht="15" hidden="false" customHeight="false" outlineLevel="0" collapsed="false">
      <c r="A3" s="12" t="s">
        <v>158</v>
      </c>
      <c r="B3" s="12"/>
      <c r="C3" s="12"/>
      <c r="D3" s="12"/>
      <c r="E3" s="12"/>
      <c r="F3" s="12"/>
      <c r="G3" s="12"/>
      <c r="H3" s="12"/>
    </row>
    <row r="5" customFormat="false" ht="19.5" hidden="false" customHeight="true" outlineLevel="0" collapsed="false">
      <c r="A5" s="13" t="s">
        <v>159</v>
      </c>
      <c r="B5" s="13"/>
      <c r="C5" s="13"/>
      <c r="D5" s="13"/>
      <c r="E5" s="13"/>
      <c r="F5" s="13"/>
      <c r="G5" s="13"/>
    </row>
    <row r="6" customFormat="false" ht="15" hidden="false" customHeight="false" outlineLevel="0" collapsed="false">
      <c r="A6" s="0" t="s">
        <v>160</v>
      </c>
      <c r="B6" s="14" t="n">
        <v>300</v>
      </c>
      <c r="C6" s="14" t="n">
        <v>350</v>
      </c>
      <c r="D6" s="14" t="n">
        <v>375</v>
      </c>
      <c r="E6" s="14" t="n">
        <v>400</v>
      </c>
      <c r="F6" s="14" t="n">
        <v>450</v>
      </c>
      <c r="G6" s="14" t="n">
        <v>500</v>
      </c>
    </row>
    <row r="7" customFormat="false" ht="15" hidden="false" customHeight="false" outlineLevel="0" collapsed="false">
      <c r="A7" s="34" t="n">
        <v>2.5</v>
      </c>
      <c r="B7" s="25" t="n">
        <f aca="false">$A7*B$6*2*Assumptions!$C$7*12</f>
        <v>396000</v>
      </c>
      <c r="C7" s="25" t="n">
        <f aca="false">$A7*C$6*2*Assumptions!$C$7*12</f>
        <v>462000</v>
      </c>
      <c r="D7" s="25" t="n">
        <f aca="false">$A7*D$6*2*Assumptions!$C$7*12</f>
        <v>495000</v>
      </c>
      <c r="E7" s="25" t="n">
        <f aca="false">$A7*E$6*2*Assumptions!$C$7*12</f>
        <v>528000</v>
      </c>
      <c r="F7" s="25" t="n">
        <f aca="false">$A7*F$6*2*Assumptions!$C$7*12</f>
        <v>594000</v>
      </c>
      <c r="G7" s="25" t="n">
        <f aca="false">$A7*G$6*2*Assumptions!$C$7*12</f>
        <v>660000</v>
      </c>
    </row>
    <row r="8" customFormat="false" ht="15" hidden="false" customHeight="false" outlineLevel="0" collapsed="false">
      <c r="A8" s="34" t="n">
        <v>3</v>
      </c>
      <c r="B8" s="25" t="n">
        <f aca="false">$A8*B$6*2*Assumptions!$C$7*12</f>
        <v>475200</v>
      </c>
      <c r="C8" s="25" t="n">
        <f aca="false">$A8*C$6*2*Assumptions!$C$7*12</f>
        <v>554400</v>
      </c>
      <c r="D8" s="25" t="n">
        <f aca="false">$A8*D$6*2*Assumptions!$C$7*12</f>
        <v>594000</v>
      </c>
      <c r="E8" s="25" t="n">
        <f aca="false">$A8*E$6*2*Assumptions!$C$7*12</f>
        <v>633600</v>
      </c>
      <c r="F8" s="25" t="n">
        <f aca="false">$A8*F$6*2*Assumptions!$C$7*12</f>
        <v>712800</v>
      </c>
      <c r="G8" s="25" t="n">
        <f aca="false">$A8*G$6*2*Assumptions!$C$7*12</f>
        <v>792000</v>
      </c>
    </row>
    <row r="9" customFormat="false" ht="15" hidden="false" customHeight="false" outlineLevel="0" collapsed="false">
      <c r="A9" s="34" t="n">
        <v>3.5</v>
      </c>
      <c r="B9" s="25" t="n">
        <f aca="false">$A9*B$6*2*Assumptions!$C$7*12</f>
        <v>554400</v>
      </c>
      <c r="C9" s="25" t="n">
        <f aca="false">$A9*C$6*2*Assumptions!$C$7*12</f>
        <v>646800</v>
      </c>
      <c r="D9" s="25" t="n">
        <f aca="false">$A9*D$6*2*Assumptions!$C$7*12</f>
        <v>693000</v>
      </c>
      <c r="E9" s="25" t="n">
        <f aca="false">$A9*E$6*2*Assumptions!$C$7*12</f>
        <v>739200</v>
      </c>
      <c r="F9" s="25" t="n">
        <f aca="false">$A9*F$6*2*Assumptions!$C$7*12</f>
        <v>831600</v>
      </c>
      <c r="G9" s="25" t="n">
        <f aca="false">$A9*G$6*2*Assumptions!$C$7*12</f>
        <v>924000</v>
      </c>
    </row>
    <row r="10" customFormat="false" ht="15" hidden="false" customHeight="false" outlineLevel="0" collapsed="false">
      <c r="A10" s="34" t="n">
        <v>4</v>
      </c>
      <c r="B10" s="25" t="n">
        <f aca="false">$A10*B$6*2*Assumptions!$C$7*12</f>
        <v>633600</v>
      </c>
      <c r="C10" s="25" t="n">
        <f aca="false">$A10*C$6*2*Assumptions!$C$7*12</f>
        <v>739200</v>
      </c>
      <c r="D10" s="25" t="n">
        <f aca="false">$A10*D$6*2*Assumptions!$C$7*12</f>
        <v>792000</v>
      </c>
      <c r="E10" s="25" t="n">
        <f aca="false">$A10*E$6*2*Assumptions!$C$7*12</f>
        <v>844800</v>
      </c>
      <c r="F10" s="25" t="n">
        <f aca="false">$A10*F$6*2*Assumptions!$C$7*12</f>
        <v>950400</v>
      </c>
      <c r="G10" s="25" t="n">
        <f aca="false">$A10*G$6*2*Assumptions!$C$7*12</f>
        <v>1056000</v>
      </c>
    </row>
    <row r="11" customFormat="false" ht="15" hidden="false" customHeight="false" outlineLevel="0" collapsed="false">
      <c r="A11" s="34" t="n">
        <v>4.5</v>
      </c>
      <c r="B11" s="25" t="n">
        <f aca="false">$A11*B$6*2*Assumptions!$C$7*12</f>
        <v>712800</v>
      </c>
      <c r="C11" s="25" t="n">
        <f aca="false">$A11*C$6*2*Assumptions!$C$7*12</f>
        <v>831600</v>
      </c>
      <c r="D11" s="25" t="n">
        <f aca="false">$A11*D$6*2*Assumptions!$C$7*12</f>
        <v>891000</v>
      </c>
      <c r="E11" s="25" t="n">
        <f aca="false">$A11*E$6*2*Assumptions!$C$7*12</f>
        <v>950400</v>
      </c>
      <c r="F11" s="25" t="n">
        <f aca="false">$A11*F$6*2*Assumptions!$C$7*12</f>
        <v>1069200</v>
      </c>
      <c r="G11" s="25" t="n">
        <f aca="false">$A11*G$6*2*Assumptions!$C$7*12</f>
        <v>1188000</v>
      </c>
    </row>
    <row r="14" customFormat="false" ht="19.5" hidden="false" customHeight="true" outlineLevel="0" collapsed="false">
      <c r="A14" s="13" t="s">
        <v>161</v>
      </c>
      <c r="B14" s="13"/>
      <c r="C14" s="13"/>
      <c r="D14" s="13"/>
      <c r="E14" s="13"/>
      <c r="F14" s="13"/>
      <c r="G14" s="13"/>
    </row>
    <row r="15" customFormat="false" ht="15" hidden="false" customHeight="false" outlineLevel="0" collapsed="false">
      <c r="A15" s="0" t="s">
        <v>160</v>
      </c>
      <c r="B15" s="14" t="n">
        <v>300</v>
      </c>
      <c r="C15" s="14" t="n">
        <v>350</v>
      </c>
      <c r="D15" s="14" t="n">
        <v>375</v>
      </c>
      <c r="E15" s="14" t="n">
        <v>400</v>
      </c>
      <c r="F15" s="14" t="n">
        <v>450</v>
      </c>
      <c r="G15" s="14" t="n">
        <v>500</v>
      </c>
    </row>
    <row r="16" customFormat="false" ht="15" hidden="false" customHeight="false" outlineLevel="0" collapsed="false">
      <c r="A16" s="34" t="n">
        <v>2.5</v>
      </c>
      <c r="B16" s="25" t="n">
        <f aca="false">($A16*B$15*2*Assumptions!$C$7*12)-(($A16*B$15*2*Assumptions!$C$7*12)*Assumptions!$C$9)-(2*Assumptions!$C$10*12)-((2*Assumptions!$C$10*12)*Assumptions!$C$11)-(2*Assumptions!$C$12*12)-((Assumptions!$C$13+2*Assumptions!$C$14)*12)-(MAX(Assumptions!$C$15*12,($A16*B$15*2*Assumptions!$C$7*12)*Assumptions!$C$16))-((Assumptions!$C$17+2*Assumptions!$C$18)*12)-((Assumptions!$C$19+2*Assumptions!$C$20)*12)</f>
        <v>-85200</v>
      </c>
      <c r="C16" s="25" t="n">
        <f aca="false">($A16*C$15*2*Assumptions!$C$7*12)-(($A16*C$15*2*Assumptions!$C$7*12)*Assumptions!$C$9)-(2*Assumptions!$C$10*12)-((2*Assumptions!$C$10*12)*Assumptions!$C$11)-(2*Assumptions!$C$12*12)-((Assumptions!$C$13+2*Assumptions!$C$14)*12)-(MAX(Assumptions!$C$15*12,($A16*C$15*2*Assumptions!$C$7*12)*Assumptions!$C$16))-((Assumptions!$C$17+2*Assumptions!$C$18)*12)-((Assumptions!$C$19+2*Assumptions!$C$20)*12)</f>
        <v>-39000</v>
      </c>
      <c r="D16" s="25" t="n">
        <f aca="false">($A16*D$15*2*Assumptions!$C$7*12)-(($A16*D$15*2*Assumptions!$C$7*12)*Assumptions!$C$9)-(2*Assumptions!$C$10*12)-((2*Assumptions!$C$10*12)*Assumptions!$C$11)-(2*Assumptions!$C$12*12)-((Assumptions!$C$13+2*Assumptions!$C$14)*12)-(MAX(Assumptions!$C$15*12,($A16*D$15*2*Assumptions!$C$7*12)*Assumptions!$C$16))-((Assumptions!$C$17+2*Assumptions!$C$18)*12)-((Assumptions!$C$19+2*Assumptions!$C$20)*12)</f>
        <v>-15900</v>
      </c>
      <c r="E16" s="25" t="n">
        <f aca="false">($A16*E$15*2*Assumptions!$C$7*12)-(($A16*E$15*2*Assumptions!$C$7*12)*Assumptions!$C$9)-(2*Assumptions!$C$10*12)-((2*Assumptions!$C$10*12)*Assumptions!$C$11)-(2*Assumptions!$C$12*12)-((Assumptions!$C$13+2*Assumptions!$C$14)*12)-(MAX(Assumptions!$C$15*12,($A16*E$15*2*Assumptions!$C$7*12)*Assumptions!$C$16))-((Assumptions!$C$17+2*Assumptions!$C$18)*12)-((Assumptions!$C$19+2*Assumptions!$C$20)*12)</f>
        <v>7200</v>
      </c>
      <c r="F16" s="25" t="n">
        <f aca="false">($A16*F$15*2*Assumptions!$C$7*12)-(($A16*F$15*2*Assumptions!$C$7*12)*Assumptions!$C$9)-(2*Assumptions!$C$10*12)-((2*Assumptions!$C$10*12)*Assumptions!$C$11)-(2*Assumptions!$C$12*12)-((Assumptions!$C$13+2*Assumptions!$C$14)*12)-(MAX(Assumptions!$C$15*12,($A16*F$15*2*Assumptions!$C$7*12)*Assumptions!$C$16))-((Assumptions!$C$17+2*Assumptions!$C$18)*12)-((Assumptions!$C$19+2*Assumptions!$C$20)*12)</f>
        <v>53400</v>
      </c>
      <c r="G16" s="25" t="n">
        <f aca="false">($A16*G$15*2*Assumptions!$C$7*12)-(($A16*G$15*2*Assumptions!$C$7*12)*Assumptions!$C$9)-(2*Assumptions!$C$10*12)-((2*Assumptions!$C$10*12)*Assumptions!$C$11)-(2*Assumptions!$C$12*12)-((Assumptions!$C$13+2*Assumptions!$C$14)*12)-(MAX(Assumptions!$C$15*12,($A16*G$15*2*Assumptions!$C$7*12)*Assumptions!$C$16))-((Assumptions!$C$17+2*Assumptions!$C$18)*12)-((Assumptions!$C$19+2*Assumptions!$C$20)*12)</f>
        <v>99600</v>
      </c>
    </row>
    <row r="17" customFormat="false" ht="15" hidden="false" customHeight="false" outlineLevel="0" collapsed="false">
      <c r="A17" s="34" t="n">
        <v>3</v>
      </c>
      <c r="B17" s="25" t="n">
        <f aca="false">($A17*B$15*2*Assumptions!$C$7*12)-(($A17*B$15*2*Assumptions!$C$7*12)*Assumptions!$C$9)-(2*Assumptions!$C$10*12)-((2*Assumptions!$C$10*12)*Assumptions!$C$11)-(2*Assumptions!$C$12*12)-((Assumptions!$C$13+2*Assumptions!$C$14)*12)-(MAX(Assumptions!$C$15*12,($A17*B$15*2*Assumptions!$C$7*12)*Assumptions!$C$16))-((Assumptions!$C$17+2*Assumptions!$C$18)*12)-((Assumptions!$C$19+2*Assumptions!$C$20)*12)</f>
        <v>-29760</v>
      </c>
      <c r="C17" s="25" t="n">
        <f aca="false">($A17*C$15*2*Assumptions!$C$7*12)-(($A17*C$15*2*Assumptions!$C$7*12)*Assumptions!$C$9)-(2*Assumptions!$C$10*12)-((2*Assumptions!$C$10*12)*Assumptions!$C$11)-(2*Assumptions!$C$12*12)-((Assumptions!$C$13+2*Assumptions!$C$14)*12)-(MAX(Assumptions!$C$15*12,($A17*C$15*2*Assumptions!$C$7*12)*Assumptions!$C$16))-((Assumptions!$C$17+2*Assumptions!$C$18)*12)-((Assumptions!$C$19+2*Assumptions!$C$20)*12)</f>
        <v>25680</v>
      </c>
      <c r="D17" s="25" t="n">
        <f aca="false">($A17*D$15*2*Assumptions!$C$7*12)-(($A17*D$15*2*Assumptions!$C$7*12)*Assumptions!$C$9)-(2*Assumptions!$C$10*12)-((2*Assumptions!$C$10*12)*Assumptions!$C$11)-(2*Assumptions!$C$12*12)-((Assumptions!$C$13+2*Assumptions!$C$14)*12)-(MAX(Assumptions!$C$15*12,($A17*D$15*2*Assumptions!$C$7*12)*Assumptions!$C$16))-((Assumptions!$C$17+2*Assumptions!$C$18)*12)-((Assumptions!$C$19+2*Assumptions!$C$20)*12)</f>
        <v>53400</v>
      </c>
      <c r="E17" s="25" t="n">
        <f aca="false">($A17*E$15*2*Assumptions!$C$7*12)-(($A17*E$15*2*Assumptions!$C$7*12)*Assumptions!$C$9)-(2*Assumptions!$C$10*12)-((2*Assumptions!$C$10*12)*Assumptions!$C$11)-(2*Assumptions!$C$12*12)-((Assumptions!$C$13+2*Assumptions!$C$14)*12)-(MAX(Assumptions!$C$15*12,($A17*E$15*2*Assumptions!$C$7*12)*Assumptions!$C$16))-((Assumptions!$C$17+2*Assumptions!$C$18)*12)-((Assumptions!$C$19+2*Assumptions!$C$20)*12)</f>
        <v>81120</v>
      </c>
      <c r="F17" s="25" t="n">
        <f aca="false">($A17*F$15*2*Assumptions!$C$7*12)-(($A17*F$15*2*Assumptions!$C$7*12)*Assumptions!$C$9)-(2*Assumptions!$C$10*12)-((2*Assumptions!$C$10*12)*Assumptions!$C$11)-(2*Assumptions!$C$12*12)-((Assumptions!$C$13+2*Assumptions!$C$14)*12)-(MAX(Assumptions!$C$15*12,($A17*F$15*2*Assumptions!$C$7*12)*Assumptions!$C$16))-((Assumptions!$C$17+2*Assumptions!$C$18)*12)-((Assumptions!$C$19+2*Assumptions!$C$20)*12)</f>
        <v>136560</v>
      </c>
      <c r="G17" s="25" t="n">
        <f aca="false">($A17*G$15*2*Assumptions!$C$7*12)-(($A17*G$15*2*Assumptions!$C$7*12)*Assumptions!$C$9)-(2*Assumptions!$C$10*12)-((2*Assumptions!$C$10*12)*Assumptions!$C$11)-(2*Assumptions!$C$12*12)-((Assumptions!$C$13+2*Assumptions!$C$14)*12)-(MAX(Assumptions!$C$15*12,($A17*G$15*2*Assumptions!$C$7*12)*Assumptions!$C$16))-((Assumptions!$C$17+2*Assumptions!$C$18)*12)-((Assumptions!$C$19+2*Assumptions!$C$20)*12)</f>
        <v>192000</v>
      </c>
    </row>
    <row r="18" customFormat="false" ht="15" hidden="false" customHeight="false" outlineLevel="0" collapsed="false">
      <c r="A18" s="34" t="n">
        <v>3.5</v>
      </c>
      <c r="B18" s="25" t="n">
        <f aca="false">($A18*B$15*2*Assumptions!$C$7*12)-(($A18*B$15*2*Assumptions!$C$7*12)*Assumptions!$C$9)-(2*Assumptions!$C$10*12)-((2*Assumptions!$C$10*12)*Assumptions!$C$11)-(2*Assumptions!$C$12*12)-((Assumptions!$C$13+2*Assumptions!$C$14)*12)-(MAX(Assumptions!$C$15*12,($A18*B$15*2*Assumptions!$C$7*12)*Assumptions!$C$16))-((Assumptions!$C$17+2*Assumptions!$C$18)*12)-((Assumptions!$C$19+2*Assumptions!$C$20)*12)</f>
        <v>25680</v>
      </c>
      <c r="C18" s="25" t="n">
        <f aca="false">($A18*C$15*2*Assumptions!$C$7*12)-(($A18*C$15*2*Assumptions!$C$7*12)*Assumptions!$C$9)-(2*Assumptions!$C$10*12)-((2*Assumptions!$C$10*12)*Assumptions!$C$11)-(2*Assumptions!$C$12*12)-((Assumptions!$C$13+2*Assumptions!$C$14)*12)-(MAX(Assumptions!$C$15*12,($A18*C$15*2*Assumptions!$C$7*12)*Assumptions!$C$16))-((Assumptions!$C$17+2*Assumptions!$C$18)*12)-((Assumptions!$C$19+2*Assumptions!$C$20)*12)</f>
        <v>90360</v>
      </c>
      <c r="D18" s="25" t="n">
        <f aca="false">($A18*D$15*2*Assumptions!$C$7*12)-(($A18*D$15*2*Assumptions!$C$7*12)*Assumptions!$C$9)-(2*Assumptions!$C$10*12)-((2*Assumptions!$C$10*12)*Assumptions!$C$11)-(2*Assumptions!$C$12*12)-((Assumptions!$C$13+2*Assumptions!$C$14)*12)-(MAX(Assumptions!$C$15*12,($A18*D$15*2*Assumptions!$C$7*12)*Assumptions!$C$16))-((Assumptions!$C$17+2*Assumptions!$C$18)*12)-((Assumptions!$C$19+2*Assumptions!$C$20)*12)</f>
        <v>122700</v>
      </c>
      <c r="E18" s="25" t="n">
        <f aca="false">($A18*E$15*2*Assumptions!$C$7*12)-(($A18*E$15*2*Assumptions!$C$7*12)*Assumptions!$C$9)-(2*Assumptions!$C$10*12)-((2*Assumptions!$C$10*12)*Assumptions!$C$11)-(2*Assumptions!$C$12*12)-((Assumptions!$C$13+2*Assumptions!$C$14)*12)-(MAX(Assumptions!$C$15*12,($A18*E$15*2*Assumptions!$C$7*12)*Assumptions!$C$16))-((Assumptions!$C$17+2*Assumptions!$C$18)*12)-((Assumptions!$C$19+2*Assumptions!$C$20)*12)</f>
        <v>155040</v>
      </c>
      <c r="F18" s="25" t="n">
        <f aca="false">($A18*F$15*2*Assumptions!$C$7*12)-(($A18*F$15*2*Assumptions!$C$7*12)*Assumptions!$C$9)-(2*Assumptions!$C$10*12)-((2*Assumptions!$C$10*12)*Assumptions!$C$11)-(2*Assumptions!$C$12*12)-((Assumptions!$C$13+2*Assumptions!$C$14)*12)-(MAX(Assumptions!$C$15*12,($A18*F$15*2*Assumptions!$C$7*12)*Assumptions!$C$16))-((Assumptions!$C$17+2*Assumptions!$C$18)*12)-((Assumptions!$C$19+2*Assumptions!$C$20)*12)</f>
        <v>219720</v>
      </c>
      <c r="G18" s="25" t="n">
        <f aca="false">($A18*G$15*2*Assumptions!$C$7*12)-(($A18*G$15*2*Assumptions!$C$7*12)*Assumptions!$C$9)-(2*Assumptions!$C$10*12)-((2*Assumptions!$C$10*12)*Assumptions!$C$11)-(2*Assumptions!$C$12*12)-((Assumptions!$C$13+2*Assumptions!$C$14)*12)-(MAX(Assumptions!$C$15*12,($A18*G$15*2*Assumptions!$C$7*12)*Assumptions!$C$16))-((Assumptions!$C$17+2*Assumptions!$C$18)*12)-((Assumptions!$C$19+2*Assumptions!$C$20)*12)</f>
        <v>284400</v>
      </c>
    </row>
    <row r="19" customFormat="false" ht="15" hidden="false" customHeight="false" outlineLevel="0" collapsed="false">
      <c r="A19" s="34" t="n">
        <v>4</v>
      </c>
      <c r="B19" s="25" t="n">
        <f aca="false">($A19*B$15*2*Assumptions!$C$7*12)-(($A19*B$15*2*Assumptions!$C$7*12)*Assumptions!$C$9)-(2*Assumptions!$C$10*12)-((2*Assumptions!$C$10*12)*Assumptions!$C$11)-(2*Assumptions!$C$12*12)-((Assumptions!$C$13+2*Assumptions!$C$14)*12)-(MAX(Assumptions!$C$15*12,($A19*B$15*2*Assumptions!$C$7*12)*Assumptions!$C$16))-((Assumptions!$C$17+2*Assumptions!$C$18)*12)-((Assumptions!$C$19+2*Assumptions!$C$20)*12)</f>
        <v>81120</v>
      </c>
      <c r="C19" s="25" t="n">
        <f aca="false">($A19*C$15*2*Assumptions!$C$7*12)-(($A19*C$15*2*Assumptions!$C$7*12)*Assumptions!$C$9)-(2*Assumptions!$C$10*12)-((2*Assumptions!$C$10*12)*Assumptions!$C$11)-(2*Assumptions!$C$12*12)-((Assumptions!$C$13+2*Assumptions!$C$14)*12)-(MAX(Assumptions!$C$15*12,($A19*C$15*2*Assumptions!$C$7*12)*Assumptions!$C$16))-((Assumptions!$C$17+2*Assumptions!$C$18)*12)-((Assumptions!$C$19+2*Assumptions!$C$20)*12)</f>
        <v>155040</v>
      </c>
      <c r="D19" s="25" t="n">
        <f aca="false">($A19*D$15*2*Assumptions!$C$7*12)-(($A19*D$15*2*Assumptions!$C$7*12)*Assumptions!$C$9)-(2*Assumptions!$C$10*12)-((2*Assumptions!$C$10*12)*Assumptions!$C$11)-(2*Assumptions!$C$12*12)-((Assumptions!$C$13+2*Assumptions!$C$14)*12)-(MAX(Assumptions!$C$15*12,($A19*D$15*2*Assumptions!$C$7*12)*Assumptions!$C$16))-((Assumptions!$C$17+2*Assumptions!$C$18)*12)-((Assumptions!$C$19+2*Assumptions!$C$20)*12)</f>
        <v>192000</v>
      </c>
      <c r="E19" s="25" t="n">
        <f aca="false">($A19*E$15*2*Assumptions!$C$7*12)-(($A19*E$15*2*Assumptions!$C$7*12)*Assumptions!$C$9)-(2*Assumptions!$C$10*12)-((2*Assumptions!$C$10*12)*Assumptions!$C$11)-(2*Assumptions!$C$12*12)-((Assumptions!$C$13+2*Assumptions!$C$14)*12)-(MAX(Assumptions!$C$15*12,($A19*E$15*2*Assumptions!$C$7*12)*Assumptions!$C$16))-((Assumptions!$C$17+2*Assumptions!$C$18)*12)-((Assumptions!$C$19+2*Assumptions!$C$20)*12)</f>
        <v>228960</v>
      </c>
      <c r="F19" s="25" t="n">
        <f aca="false">($A19*F$15*2*Assumptions!$C$7*12)-(($A19*F$15*2*Assumptions!$C$7*12)*Assumptions!$C$9)-(2*Assumptions!$C$10*12)-((2*Assumptions!$C$10*12)*Assumptions!$C$11)-(2*Assumptions!$C$12*12)-((Assumptions!$C$13+2*Assumptions!$C$14)*12)-(MAX(Assumptions!$C$15*12,($A19*F$15*2*Assumptions!$C$7*12)*Assumptions!$C$16))-((Assumptions!$C$17+2*Assumptions!$C$18)*12)-((Assumptions!$C$19+2*Assumptions!$C$20)*12)</f>
        <v>302880</v>
      </c>
      <c r="G19" s="25" t="n">
        <f aca="false">($A19*G$15*2*Assumptions!$C$7*12)-(($A19*G$15*2*Assumptions!$C$7*12)*Assumptions!$C$9)-(2*Assumptions!$C$10*12)-((2*Assumptions!$C$10*12)*Assumptions!$C$11)-(2*Assumptions!$C$12*12)-((Assumptions!$C$13+2*Assumptions!$C$14)*12)-(MAX(Assumptions!$C$15*12,($A19*G$15*2*Assumptions!$C$7*12)*Assumptions!$C$16))-((Assumptions!$C$17+2*Assumptions!$C$18)*12)-((Assumptions!$C$19+2*Assumptions!$C$20)*12)</f>
        <v>376800</v>
      </c>
    </row>
    <row r="20" customFormat="false" ht="15" hidden="false" customHeight="false" outlineLevel="0" collapsed="false">
      <c r="A20" s="34" t="n">
        <v>4.5</v>
      </c>
      <c r="B20" s="25" t="n">
        <f aca="false">($A20*B$15*2*Assumptions!$C$7*12)-(($A20*B$15*2*Assumptions!$C$7*12)*Assumptions!$C$9)-(2*Assumptions!$C$10*12)-((2*Assumptions!$C$10*12)*Assumptions!$C$11)-(2*Assumptions!$C$12*12)-((Assumptions!$C$13+2*Assumptions!$C$14)*12)-(MAX(Assumptions!$C$15*12,($A20*B$15*2*Assumptions!$C$7*12)*Assumptions!$C$16))-((Assumptions!$C$17+2*Assumptions!$C$18)*12)-((Assumptions!$C$19+2*Assumptions!$C$20)*12)</f>
        <v>136560</v>
      </c>
      <c r="C20" s="25" t="n">
        <f aca="false">($A20*C$15*2*Assumptions!$C$7*12)-(($A20*C$15*2*Assumptions!$C$7*12)*Assumptions!$C$9)-(2*Assumptions!$C$10*12)-((2*Assumptions!$C$10*12)*Assumptions!$C$11)-(2*Assumptions!$C$12*12)-((Assumptions!$C$13+2*Assumptions!$C$14)*12)-(MAX(Assumptions!$C$15*12,($A20*C$15*2*Assumptions!$C$7*12)*Assumptions!$C$16))-((Assumptions!$C$17+2*Assumptions!$C$18)*12)-((Assumptions!$C$19+2*Assumptions!$C$20)*12)</f>
        <v>219720</v>
      </c>
      <c r="D20" s="25" t="n">
        <f aca="false">($A20*D$15*2*Assumptions!$C$7*12)-(($A20*D$15*2*Assumptions!$C$7*12)*Assumptions!$C$9)-(2*Assumptions!$C$10*12)-((2*Assumptions!$C$10*12)*Assumptions!$C$11)-(2*Assumptions!$C$12*12)-((Assumptions!$C$13+2*Assumptions!$C$14)*12)-(MAX(Assumptions!$C$15*12,($A20*D$15*2*Assumptions!$C$7*12)*Assumptions!$C$16))-((Assumptions!$C$17+2*Assumptions!$C$18)*12)-((Assumptions!$C$19+2*Assumptions!$C$20)*12)</f>
        <v>261300</v>
      </c>
      <c r="E20" s="25" t="n">
        <f aca="false">($A20*E$15*2*Assumptions!$C$7*12)-(($A20*E$15*2*Assumptions!$C$7*12)*Assumptions!$C$9)-(2*Assumptions!$C$10*12)-((2*Assumptions!$C$10*12)*Assumptions!$C$11)-(2*Assumptions!$C$12*12)-((Assumptions!$C$13+2*Assumptions!$C$14)*12)-(MAX(Assumptions!$C$15*12,($A20*E$15*2*Assumptions!$C$7*12)*Assumptions!$C$16))-((Assumptions!$C$17+2*Assumptions!$C$18)*12)-((Assumptions!$C$19+2*Assumptions!$C$20)*12)</f>
        <v>302880</v>
      </c>
      <c r="F20" s="25" t="n">
        <f aca="false">($A20*F$15*2*Assumptions!$C$7*12)-(($A20*F$15*2*Assumptions!$C$7*12)*Assumptions!$C$9)-(2*Assumptions!$C$10*12)-((2*Assumptions!$C$10*12)*Assumptions!$C$11)-(2*Assumptions!$C$12*12)-((Assumptions!$C$13+2*Assumptions!$C$14)*12)-(MAX(Assumptions!$C$15*12,($A20*F$15*2*Assumptions!$C$7*12)*Assumptions!$C$16))-((Assumptions!$C$17+2*Assumptions!$C$18)*12)-((Assumptions!$C$19+2*Assumptions!$C$20)*12)</f>
        <v>386040</v>
      </c>
      <c r="G20" s="25" t="n">
        <f aca="false">($A20*G$15*2*Assumptions!$C$7*12)-(($A20*G$15*2*Assumptions!$C$7*12)*Assumptions!$C$9)-(2*Assumptions!$C$10*12)-((2*Assumptions!$C$10*12)*Assumptions!$C$11)-(2*Assumptions!$C$12*12)-((Assumptions!$C$13+2*Assumptions!$C$14)*12)-(MAX(Assumptions!$C$15*12,($A20*G$15*2*Assumptions!$C$7*12)*Assumptions!$C$16))-((Assumptions!$C$17+2*Assumptions!$C$18)*12)-((Assumptions!$C$19+2*Assumptions!$C$20)*12)</f>
        <v>469200</v>
      </c>
    </row>
  </sheetData>
  <mergeCells count="4">
    <mergeCell ref="A1:H2"/>
    <mergeCell ref="A3:H3"/>
    <mergeCell ref="A5:G5"/>
    <mergeCell ref="A14:G14"/>
  </mergeCells>
  <conditionalFormatting sqref="B16:G20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25" right="0.25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2026-08-26T18:28:41Z</dcterms:created>
  <dc:creator>openpyxl</dc:creator>
  <dc:description/>
  <dc:language>en-US</dc:language>
  <cp:lastModifiedBy/>
  <dcterms:modified xsi:type="dcterms:W3CDTF">2026-08-26T18:34:47Z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